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tina.marangoni\Desktop\"/>
    </mc:Choice>
  </mc:AlternateContent>
  <bookViews>
    <workbookView xWindow="0" yWindow="0" windowWidth="28800" windowHeight="12090" tabRatio="824"/>
  </bookViews>
  <sheets>
    <sheet name="Schema CE" sheetId="1" r:id="rId1"/>
    <sheet name="CE Min" sheetId="4" r:id="rId2"/>
    <sheet name="Alim CE Costi" sheetId="3" r:id="rId3"/>
    <sheet name="Alim CE Ricavi" sheetId="2" r:id="rId4"/>
    <sheet name="Schema SP" sheetId="28" r:id="rId5"/>
    <sheet name="SP Min" sheetId="29" r:id="rId6"/>
    <sheet name="SP Att Alim" sheetId="30" r:id="rId7"/>
    <sheet name="SP Pas Alim" sheetId="31" r:id="rId8"/>
    <sheet name="Rend Fin" sheetId="32" r:id="rId9"/>
    <sheet name="ce art. 44" sheetId="17" state="hidden" r:id="rId10"/>
  </sheets>
  <externalReferences>
    <externalReference r:id="rId11"/>
    <externalReference r:id="rId12"/>
  </externalReferences>
  <definedNames>
    <definedName name="_xlnm._FilterDatabase" localSheetId="2" hidden="1">'Alim CE Costi'!$A$1:$I$1243</definedName>
    <definedName name="_xlnm._FilterDatabase" localSheetId="3" hidden="1">'Alim CE Ricavi'!$A$1:$GF$391</definedName>
    <definedName name="_xlnm._FilterDatabase" localSheetId="6" hidden="1">'SP Att Alim'!$A$1:$H$450</definedName>
    <definedName name="_xlnm._FilterDatabase" localSheetId="5" hidden="1">'SP Min'!$A$29:$E$29</definedName>
    <definedName name="_xlnm._FilterDatabase" localSheetId="7" hidden="1">'SP Pas Alim'!$A$1:$G$315</definedName>
    <definedName name="_xlnm.Print_Area" localSheetId="9">'ce art. 44'!$A$3:$C$58</definedName>
    <definedName name="_xlnm.Print_Area" localSheetId="1">'CE Min'!$A$1:$W$650</definedName>
    <definedName name="_xlnm.Print_Area" localSheetId="6">'SP Att Alim'!$A$1:$G$449</definedName>
    <definedName name="_xlnm.Print_Titles" localSheetId="2">'Alim CE Costi'!$1:$1</definedName>
    <definedName name="_xlnm.Print_Titles" localSheetId="3">'Alim CE Ricavi'!$1:$1</definedName>
    <definedName name="_xlnm.Print_Titles" localSheetId="1">'CE Min'!$24:$24</definedName>
    <definedName name="_xlnm.Print_Titles" localSheetId="0">'Schema CE'!$4:$5</definedName>
    <definedName name="_xlnm.Print_Titles" localSheetId="6">'SP Att Alim'!$1:$1</definedName>
    <definedName name="_xlnm.Print_Titles" localSheetId="5">'SP Min'!$29:$29</definedName>
    <definedName name="_xlnm.Print_Titles" localSheetId="7">'SP Pas Alim'!$1:$1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F368" i="2" l="1"/>
  <c r="F358" i="2"/>
  <c r="J40" i="28" l="1"/>
  <c r="E51" i="32" l="1"/>
  <c r="J366" i="30" l="1"/>
  <c r="G450" i="30" l="1"/>
  <c r="C93" i="32" l="1"/>
  <c r="C90" i="32"/>
  <c r="C87" i="32"/>
  <c r="C79" i="32"/>
  <c r="C70" i="32"/>
  <c r="C64" i="32"/>
  <c r="E311" i="31"/>
  <c r="E312" i="31" s="1"/>
  <c r="E313" i="31" s="1"/>
  <c r="E314" i="31" s="1"/>
  <c r="E315" i="31" s="1"/>
  <c r="E309" i="31"/>
  <c r="E307" i="31"/>
  <c r="E305" i="31"/>
  <c r="E303" i="31"/>
  <c r="E299" i="31"/>
  <c r="E297" i="31"/>
  <c r="E295" i="31"/>
  <c r="E292" i="31"/>
  <c r="E290" i="31"/>
  <c r="E283" i="31"/>
  <c r="E284" i="31" s="1"/>
  <c r="E285" i="31" s="1"/>
  <c r="E286" i="31" s="1"/>
  <c r="E278" i="31"/>
  <c r="E279" i="31" s="1"/>
  <c r="E280" i="31" s="1"/>
  <c r="E281" i="31" s="1"/>
  <c r="E272" i="31"/>
  <c r="E273" i="31" s="1"/>
  <c r="E274" i="31" s="1"/>
  <c r="E275" i="31" s="1"/>
  <c r="E276" i="31" s="1"/>
  <c r="E267" i="31"/>
  <c r="E268" i="31" s="1"/>
  <c r="E269" i="31" s="1"/>
  <c r="E270" i="31" s="1"/>
  <c r="E264" i="31"/>
  <c r="E265" i="31" s="1"/>
  <c r="E261" i="31"/>
  <c r="E262" i="31" s="1"/>
  <c r="E259" i="31"/>
  <c r="E248" i="31"/>
  <c r="E249" i="31" s="1"/>
  <c r="E250" i="31" s="1"/>
  <c r="E251" i="31" s="1"/>
  <c r="E252" i="31" s="1"/>
  <c r="E253" i="31" s="1"/>
  <c r="E254" i="31" s="1"/>
  <c r="E255" i="31" s="1"/>
  <c r="E256" i="31" s="1"/>
  <c r="E235" i="31"/>
  <c r="E236" i="31" s="1"/>
  <c r="E237" i="31" s="1"/>
  <c r="E238" i="31" s="1"/>
  <c r="E239" i="31" s="1"/>
  <c r="E240" i="31" s="1"/>
  <c r="E241" i="31" s="1"/>
  <c r="E242" i="31" s="1"/>
  <c r="E243" i="31" s="1"/>
  <c r="E244" i="31" s="1"/>
  <c r="E245" i="31" s="1"/>
  <c r="E246" i="31" s="1"/>
  <c r="E232" i="31"/>
  <c r="E233" i="31" s="1"/>
  <c r="E230" i="31"/>
  <c r="E223" i="31"/>
  <c r="E224" i="31" s="1"/>
  <c r="E225" i="31" s="1"/>
  <c r="E226" i="31" s="1"/>
  <c r="E227" i="31" s="1"/>
  <c r="E228" i="31" s="1"/>
  <c r="E220" i="31"/>
  <c r="E217" i="31"/>
  <c r="E218" i="31" s="1"/>
  <c r="E211" i="31"/>
  <c r="E212" i="31" s="1"/>
  <c r="E213" i="31" s="1"/>
  <c r="E209" i="31"/>
  <c r="E207" i="31"/>
  <c r="E191" i="31"/>
  <c r="E192" i="31" s="1"/>
  <c r="E193" i="31" s="1"/>
  <c r="E162" i="31"/>
  <c r="E163" i="31" s="1"/>
  <c r="E164" i="31" s="1"/>
  <c r="E165" i="31" s="1"/>
  <c r="E156" i="31"/>
  <c r="E157" i="31" s="1"/>
  <c r="E158" i="31" s="1"/>
  <c r="E159" i="31" s="1"/>
  <c r="E160" i="31" s="1"/>
  <c r="E154" i="31"/>
  <c r="E152" i="31"/>
  <c r="E150" i="31"/>
  <c r="E148" i="31"/>
  <c r="E146" i="31"/>
  <c r="E144" i="31"/>
  <c r="E142" i="31"/>
  <c r="E140" i="31"/>
  <c r="E138" i="31"/>
  <c r="E132" i="31"/>
  <c r="E133" i="31" s="1"/>
  <c r="E134" i="31" s="1"/>
  <c r="E135" i="31" s="1"/>
  <c r="E130" i="31"/>
  <c r="E128" i="31"/>
  <c r="E126" i="31"/>
  <c r="E124" i="31"/>
  <c r="E121" i="31"/>
  <c r="E118" i="31"/>
  <c r="E116" i="31"/>
  <c r="E114" i="31"/>
  <c r="E111" i="31"/>
  <c r="E108" i="31"/>
  <c r="E109" i="31" s="1"/>
  <c r="E106" i="31"/>
  <c r="E104" i="31"/>
  <c r="E102" i="31"/>
  <c r="E99" i="31"/>
  <c r="E95" i="31"/>
  <c r="E96" i="31" s="1"/>
  <c r="E93" i="31"/>
  <c r="E91" i="31"/>
  <c r="E89" i="31"/>
  <c r="E87" i="31"/>
  <c r="E84" i="31"/>
  <c r="E82" i="31"/>
  <c r="E80" i="31"/>
  <c r="E78" i="31"/>
  <c r="E76" i="31"/>
  <c r="E74" i="31"/>
  <c r="E72" i="31"/>
  <c r="E70" i="31"/>
  <c r="E65" i="31"/>
  <c r="E66" i="31" s="1"/>
  <c r="E67" i="31" s="1"/>
  <c r="E63" i="31"/>
  <c r="E61" i="31"/>
  <c r="E59" i="31"/>
  <c r="E57" i="31"/>
  <c r="E55" i="31"/>
  <c r="E53" i="31"/>
  <c r="E50" i="31"/>
  <c r="E47" i="31"/>
  <c r="E45" i="31"/>
  <c r="E43" i="31"/>
  <c r="E41" i="31"/>
  <c r="E39" i="31"/>
  <c r="E36" i="31"/>
  <c r="E34" i="31"/>
  <c r="E32" i="31"/>
  <c r="E30" i="31"/>
  <c r="E28" i="31"/>
  <c r="E25" i="31"/>
  <c r="E23" i="31"/>
  <c r="E20" i="31"/>
  <c r="E21" i="31" s="1"/>
  <c r="E17" i="31"/>
  <c r="E18" i="31" s="1"/>
  <c r="E15" i="31"/>
  <c r="E13" i="31"/>
  <c r="E11" i="31"/>
  <c r="E8" i="31"/>
  <c r="E5" i="31"/>
  <c r="E445" i="30"/>
  <c r="E446" i="30" s="1"/>
  <c r="E447" i="30" s="1"/>
  <c r="E448" i="30" s="1"/>
  <c r="E449" i="30" s="1"/>
  <c r="E443" i="30"/>
  <c r="E441" i="30"/>
  <c r="E439" i="30"/>
  <c r="E437" i="30"/>
  <c r="F434" i="30"/>
  <c r="E433" i="30"/>
  <c r="E431" i="30"/>
  <c r="E428" i="30"/>
  <c r="E426" i="30"/>
  <c r="E411" i="30"/>
  <c r="E412" i="30" s="1"/>
  <c r="E413" i="30" s="1"/>
  <c r="E414" i="30" s="1"/>
  <c r="E415" i="30" s="1"/>
  <c r="E416" i="30" s="1"/>
  <c r="E417" i="30" s="1"/>
  <c r="E418" i="30" s="1"/>
  <c r="E419" i="30" s="1"/>
  <c r="E420" i="30" s="1"/>
  <c r="E421" i="30" s="1"/>
  <c r="E422" i="30" s="1"/>
  <c r="E405" i="30"/>
  <c r="E406" i="30" s="1"/>
  <c r="E407" i="30" s="1"/>
  <c r="E408" i="30" s="1"/>
  <c r="E409" i="30" s="1"/>
  <c r="E403" i="30"/>
  <c r="E397" i="30"/>
  <c r="E398" i="30" s="1"/>
  <c r="E399" i="30" s="1"/>
  <c r="E400" i="30" s="1"/>
  <c r="E401" i="30" s="1"/>
  <c r="E391" i="30"/>
  <c r="E392" i="30" s="1"/>
  <c r="E394" i="30" s="1"/>
  <c r="E387" i="30"/>
  <c r="E383" i="30"/>
  <c r="E384" i="30" s="1"/>
  <c r="E385" i="30" s="1"/>
  <c r="E380" i="30"/>
  <c r="E378" i="30"/>
  <c r="E375" i="30"/>
  <c r="E366" i="30"/>
  <c r="E367" i="30" s="1"/>
  <c r="E368" i="30" s="1"/>
  <c r="E369" i="30" s="1"/>
  <c r="E370" i="30" s="1"/>
  <c r="E371" i="30" s="1"/>
  <c r="E372" i="30" s="1"/>
  <c r="E373" i="30" s="1"/>
  <c r="E362" i="30"/>
  <c r="E363" i="30" s="1"/>
  <c r="E356" i="30"/>
  <c r="E357" i="30" s="1"/>
  <c r="E358" i="30" s="1"/>
  <c r="E359" i="30" s="1"/>
  <c r="E360" i="30" s="1"/>
  <c r="E353" i="30"/>
  <c r="E354" i="30" s="1"/>
  <c r="E346" i="30"/>
  <c r="E347" i="30" s="1"/>
  <c r="E348" i="30" s="1"/>
  <c r="E349" i="30" s="1"/>
  <c r="E350" i="30" s="1"/>
  <c r="E351" i="30" s="1"/>
  <c r="E336" i="30"/>
  <c r="E337" i="30" s="1"/>
  <c r="E338" i="30" s="1"/>
  <c r="E339" i="30" s="1"/>
  <c r="E340" i="30" s="1"/>
  <c r="E341" i="30" s="1"/>
  <c r="E342" i="30" s="1"/>
  <c r="E343" i="30" s="1"/>
  <c r="E331" i="30"/>
  <c r="E332" i="30" s="1"/>
  <c r="E333" i="30" s="1"/>
  <c r="E334" i="30" s="1"/>
  <c r="E328" i="30"/>
  <c r="E329" i="30" s="1"/>
  <c r="E325" i="30"/>
  <c r="E326" i="30" s="1"/>
  <c r="E322" i="30"/>
  <c r="E317" i="30"/>
  <c r="E318" i="30" s="1"/>
  <c r="E319" i="30" s="1"/>
  <c r="E320" i="30" s="1"/>
  <c r="E313" i="30"/>
  <c r="E309" i="30"/>
  <c r="E310" i="30" s="1"/>
  <c r="E311" i="30" s="1"/>
  <c r="E305" i="30"/>
  <c r="E306" i="30" s="1"/>
  <c r="E307" i="30" s="1"/>
  <c r="E303" i="30"/>
  <c r="E296" i="30"/>
  <c r="E297" i="30" s="1"/>
  <c r="E298" i="30" s="1"/>
  <c r="E299" i="30" s="1"/>
  <c r="E294" i="30"/>
  <c r="E292" i="30"/>
  <c r="E289" i="30"/>
  <c r="E290" i="30" s="1"/>
  <c r="E286" i="30"/>
  <c r="E287" i="30" s="1"/>
  <c r="E284" i="30"/>
  <c r="E281" i="30"/>
  <c r="E282" i="30" s="1"/>
  <c r="E278" i="30"/>
  <c r="E279" i="30" s="1"/>
  <c r="E275" i="30"/>
  <c r="E276" i="30" s="1"/>
  <c r="E271" i="30"/>
  <c r="E272" i="30" s="1"/>
  <c r="E265" i="30"/>
  <c r="E266" i="30" s="1"/>
  <c r="E267" i="30" s="1"/>
  <c r="E268" i="30" s="1"/>
  <c r="E269" i="30" s="1"/>
  <c r="E262" i="30"/>
  <c r="E263" i="30" s="1"/>
  <c r="E257" i="30"/>
  <c r="E258" i="30" s="1"/>
  <c r="E259" i="30" s="1"/>
  <c r="E260" i="30" s="1"/>
  <c r="E254" i="30"/>
  <c r="E255" i="30" s="1"/>
  <c r="E251" i="30"/>
  <c r="E252" i="30" s="1"/>
  <c r="E248" i="30"/>
  <c r="E249" i="30" s="1"/>
  <c r="E245" i="30"/>
  <c r="E246" i="30" s="1"/>
  <c r="E242" i="30"/>
  <c r="E243" i="30" s="1"/>
  <c r="E239" i="30"/>
  <c r="E240" i="30" s="1"/>
  <c r="E232" i="30"/>
  <c r="E233" i="30" s="1"/>
  <c r="E234" i="30" s="1"/>
  <c r="E235" i="30" s="1"/>
  <c r="E229" i="30"/>
  <c r="E230" i="30" s="1"/>
  <c r="E224" i="30"/>
  <c r="E225" i="30" s="1"/>
  <c r="E226" i="30" s="1"/>
  <c r="E227" i="30" s="1"/>
  <c r="E221" i="30"/>
  <c r="E222" i="30" s="1"/>
  <c r="E218" i="30"/>
  <c r="E219" i="30" s="1"/>
  <c r="E214" i="30"/>
  <c r="E215" i="30" s="1"/>
  <c r="E211" i="30"/>
  <c r="E212" i="30" s="1"/>
  <c r="E206" i="30"/>
  <c r="E207" i="30" s="1"/>
  <c r="E208" i="30" s="1"/>
  <c r="E209" i="30" s="1"/>
  <c r="E203" i="30"/>
  <c r="E204" i="30" s="1"/>
  <c r="E200" i="30"/>
  <c r="E201" i="30" s="1"/>
  <c r="E197" i="30"/>
  <c r="E198" i="30" s="1"/>
  <c r="E194" i="30"/>
  <c r="E195" i="30" s="1"/>
  <c r="E191" i="30"/>
  <c r="E192" i="30" s="1"/>
  <c r="E188" i="30"/>
  <c r="E189" i="30" s="1"/>
  <c r="E184" i="30"/>
  <c r="E182" i="30"/>
  <c r="E180" i="30"/>
  <c r="E178" i="30"/>
  <c r="E176" i="30"/>
  <c r="E174" i="30"/>
  <c r="E172" i="30"/>
  <c r="E169" i="30"/>
  <c r="E167" i="30"/>
  <c r="E165" i="30"/>
  <c r="E163" i="30"/>
  <c r="E161" i="30"/>
  <c r="E159" i="30"/>
  <c r="E155" i="30"/>
  <c r="E156" i="30" s="1"/>
  <c r="E157" i="30" s="1"/>
  <c r="E153" i="30"/>
  <c r="E149" i="30"/>
  <c r="E150" i="30" s="1"/>
  <c r="E151" i="30" s="1"/>
  <c r="E144" i="30"/>
  <c r="E142" i="30"/>
  <c r="E140" i="30"/>
  <c r="E138" i="30"/>
  <c r="E135" i="30"/>
  <c r="E129" i="30"/>
  <c r="E130" i="30" s="1"/>
  <c r="E131" i="30" s="1"/>
  <c r="E132" i="30" s="1"/>
  <c r="E126" i="30"/>
  <c r="E127" i="30" s="1"/>
  <c r="H124" i="30"/>
  <c r="E123" i="30"/>
  <c r="E124" i="30" s="1"/>
  <c r="E120" i="30"/>
  <c r="E121" i="30" s="1"/>
  <c r="E116" i="30"/>
  <c r="E114" i="30"/>
  <c r="E112" i="30"/>
  <c r="E110" i="30"/>
  <c r="E108" i="30"/>
  <c r="E106" i="30"/>
  <c r="E103" i="30"/>
  <c r="E104" i="30" s="1"/>
  <c r="E100" i="30"/>
  <c r="E101" i="30" s="1"/>
  <c r="E97" i="30"/>
  <c r="E95" i="30"/>
  <c r="E93" i="30"/>
  <c r="E90" i="30"/>
  <c r="E88" i="30"/>
  <c r="E86" i="30"/>
  <c r="E83" i="30"/>
  <c r="E81" i="30"/>
  <c r="E78" i="30"/>
  <c r="E76" i="30"/>
  <c r="E73" i="30"/>
  <c r="E71" i="30"/>
  <c r="E68" i="30"/>
  <c r="E66" i="30"/>
  <c r="E63" i="30"/>
  <c r="E61" i="30"/>
  <c r="E57" i="30"/>
  <c r="E55" i="30"/>
  <c r="E51" i="30"/>
  <c r="E49" i="30"/>
  <c r="E47" i="30"/>
  <c r="E45" i="30"/>
  <c r="E42" i="30"/>
  <c r="E40" i="30"/>
  <c r="E38" i="30"/>
  <c r="E36" i="30"/>
  <c r="E34" i="30"/>
  <c r="E32" i="30"/>
  <c r="E30" i="30"/>
  <c r="E28" i="30"/>
  <c r="E25" i="30"/>
  <c r="E23" i="30"/>
  <c r="E21" i="30"/>
  <c r="E19" i="30"/>
  <c r="E17" i="30"/>
  <c r="E14" i="30"/>
  <c r="E12" i="30"/>
  <c r="E9" i="30"/>
  <c r="E7" i="30"/>
  <c r="E346" i="29"/>
  <c r="D346" i="29"/>
  <c r="E345" i="29"/>
  <c r="D345" i="29"/>
  <c r="E344" i="29"/>
  <c r="J165" i="28" s="1"/>
  <c r="D344" i="29"/>
  <c r="I165" i="28" s="1"/>
  <c r="E343" i="29"/>
  <c r="J164" i="28" s="1"/>
  <c r="L164" i="28" s="1"/>
  <c r="D343" i="29"/>
  <c r="I164" i="28" s="1"/>
  <c r="E342" i="29"/>
  <c r="J163" i="28" s="1"/>
  <c r="D342" i="29"/>
  <c r="I163" i="28" s="1"/>
  <c r="E339" i="29"/>
  <c r="D339" i="29"/>
  <c r="E338" i="29"/>
  <c r="D338" i="29"/>
  <c r="E337" i="29"/>
  <c r="D337" i="29"/>
  <c r="E335" i="29"/>
  <c r="D335" i="29"/>
  <c r="E334" i="29"/>
  <c r="D334" i="29"/>
  <c r="E331" i="29"/>
  <c r="D331" i="29"/>
  <c r="E330" i="29"/>
  <c r="D330" i="29"/>
  <c r="E329" i="29"/>
  <c r="D329" i="29"/>
  <c r="E328" i="29"/>
  <c r="J152" i="28" s="1"/>
  <c r="L152" i="28" s="1"/>
  <c r="D328" i="29"/>
  <c r="I152" i="28" s="1"/>
  <c r="E326" i="29"/>
  <c r="J153" i="28" s="1"/>
  <c r="D326" i="29"/>
  <c r="I153" i="28" s="1"/>
  <c r="E325" i="29"/>
  <c r="J151" i="28" s="1"/>
  <c r="D325" i="29"/>
  <c r="I151" i="28" s="1"/>
  <c r="E324" i="29"/>
  <c r="D324" i="29"/>
  <c r="I150" i="28" s="1"/>
  <c r="E323" i="29"/>
  <c r="D323" i="29"/>
  <c r="E322" i="29"/>
  <c r="D322" i="29"/>
  <c r="E320" i="29"/>
  <c r="D320" i="29"/>
  <c r="E319" i="29"/>
  <c r="D319" i="29"/>
  <c r="E316" i="29"/>
  <c r="D316" i="29"/>
  <c r="E315" i="29"/>
  <c r="D315" i="29"/>
  <c r="E314" i="29"/>
  <c r="D314" i="29"/>
  <c r="E312" i="29"/>
  <c r="D312" i="29"/>
  <c r="E311" i="29"/>
  <c r="D311" i="29"/>
  <c r="E310" i="29"/>
  <c r="D310" i="29"/>
  <c r="E309" i="29"/>
  <c r="D309" i="29"/>
  <c r="E308" i="29"/>
  <c r="D308" i="29"/>
  <c r="E306" i="29"/>
  <c r="J147" i="28" s="1"/>
  <c r="D306" i="29"/>
  <c r="I147" i="28" s="1"/>
  <c r="E305" i="29"/>
  <c r="D305" i="29"/>
  <c r="E304" i="29"/>
  <c r="D304" i="29"/>
  <c r="E303" i="29"/>
  <c r="D303" i="29"/>
  <c r="E302" i="29"/>
  <c r="D302" i="29"/>
  <c r="E301" i="29"/>
  <c r="D301" i="29"/>
  <c r="E300" i="29"/>
  <c r="D300" i="29"/>
  <c r="E299" i="29"/>
  <c r="J144" i="28" s="1"/>
  <c r="L144" i="28" s="1"/>
  <c r="D299" i="29"/>
  <c r="I144" i="28" s="1"/>
  <c r="E298" i="29"/>
  <c r="J143" i="28" s="1"/>
  <c r="L143" i="28" s="1"/>
  <c r="D298" i="29"/>
  <c r="I143" i="28" s="1"/>
  <c r="E297" i="29"/>
  <c r="D297" i="29"/>
  <c r="E294" i="29"/>
  <c r="J140" i="28" s="1"/>
  <c r="L140" i="28" s="1"/>
  <c r="D294" i="29"/>
  <c r="I140" i="28" s="1"/>
  <c r="E293" i="29"/>
  <c r="D293" i="29"/>
  <c r="E292" i="29"/>
  <c r="D292" i="29"/>
  <c r="E291" i="29"/>
  <c r="D291" i="29"/>
  <c r="E290" i="29"/>
  <c r="D290" i="29"/>
  <c r="E289" i="29"/>
  <c r="D289" i="29"/>
  <c r="E288" i="29"/>
  <c r="D288" i="29"/>
  <c r="E287" i="29"/>
  <c r="D287" i="29"/>
  <c r="E286" i="29"/>
  <c r="D286" i="29"/>
  <c r="E285" i="29"/>
  <c r="D285" i="29"/>
  <c r="E284" i="29"/>
  <c r="D284" i="29"/>
  <c r="E282" i="29"/>
  <c r="D282" i="29"/>
  <c r="E281" i="29"/>
  <c r="D281" i="29"/>
  <c r="E280" i="29"/>
  <c r="D280" i="29"/>
  <c r="E279" i="29"/>
  <c r="D279" i="29"/>
  <c r="E278" i="29"/>
  <c r="D278" i="29"/>
  <c r="E276" i="29"/>
  <c r="J137" i="28" s="1"/>
  <c r="L137" i="28" s="1"/>
  <c r="D276" i="29"/>
  <c r="I137" i="28" s="1"/>
  <c r="E274" i="29"/>
  <c r="D274" i="29"/>
  <c r="E273" i="29"/>
  <c r="D273" i="29"/>
  <c r="E272" i="29"/>
  <c r="J132" i="28" s="1"/>
  <c r="L132" i="28" s="1"/>
  <c r="D272" i="29"/>
  <c r="E270" i="29"/>
  <c r="D270" i="29"/>
  <c r="E269" i="29"/>
  <c r="D269" i="29"/>
  <c r="E268" i="29"/>
  <c r="D268" i="29"/>
  <c r="E267" i="29"/>
  <c r="D267" i="29"/>
  <c r="E266" i="29"/>
  <c r="D266" i="29"/>
  <c r="E264" i="29"/>
  <c r="D264" i="29"/>
  <c r="E262" i="29"/>
  <c r="D262" i="29"/>
  <c r="E261" i="29"/>
  <c r="D261" i="29"/>
  <c r="E260" i="29"/>
  <c r="D260" i="29"/>
  <c r="E259" i="29"/>
  <c r="D259" i="29"/>
  <c r="E258" i="29"/>
  <c r="D258" i="29"/>
  <c r="E256" i="29"/>
  <c r="D256" i="29"/>
  <c r="E255" i="29"/>
  <c r="D255" i="29"/>
  <c r="E254" i="29"/>
  <c r="D254" i="29"/>
  <c r="E253" i="29"/>
  <c r="D253" i="29"/>
  <c r="E252" i="29"/>
  <c r="D252" i="29"/>
  <c r="E251" i="29"/>
  <c r="D251" i="29"/>
  <c r="E250" i="29"/>
  <c r="D250" i="29"/>
  <c r="E249" i="29"/>
  <c r="D249" i="29"/>
  <c r="E247" i="29"/>
  <c r="D247" i="29"/>
  <c r="E246" i="29"/>
  <c r="D246" i="29"/>
  <c r="E245" i="29"/>
  <c r="D245" i="29"/>
  <c r="E244" i="29"/>
  <c r="D244" i="29"/>
  <c r="E243" i="29"/>
  <c r="D243" i="29"/>
  <c r="E242" i="29"/>
  <c r="D242" i="29"/>
  <c r="E241" i="29"/>
  <c r="D241" i="29"/>
  <c r="E239" i="29"/>
  <c r="J125" i="28" s="1"/>
  <c r="L125" i="28" s="1"/>
  <c r="D239" i="29"/>
  <c r="E237" i="29"/>
  <c r="E236" i="29"/>
  <c r="J121" i="28" s="1"/>
  <c r="L121" i="28" s="1"/>
  <c r="D236" i="29"/>
  <c r="I121" i="28" s="1"/>
  <c r="E235" i="29"/>
  <c r="D235" i="29"/>
  <c r="E234" i="29"/>
  <c r="D234" i="29"/>
  <c r="E233" i="29"/>
  <c r="D233" i="29"/>
  <c r="E231" i="29"/>
  <c r="D231" i="29"/>
  <c r="E230" i="29"/>
  <c r="D230" i="29"/>
  <c r="E229" i="29"/>
  <c r="D229" i="29"/>
  <c r="E228" i="29"/>
  <c r="D228" i="29"/>
  <c r="E227" i="29"/>
  <c r="D227" i="29"/>
  <c r="E225" i="29"/>
  <c r="D225" i="29"/>
  <c r="I118" i="28" s="1"/>
  <c r="E224" i="29"/>
  <c r="J117" i="28" s="1"/>
  <c r="D224" i="29"/>
  <c r="I117" i="28" s="1"/>
  <c r="E223" i="29"/>
  <c r="J116" i="28" s="1"/>
  <c r="D223" i="29"/>
  <c r="I116" i="28" s="1"/>
  <c r="E222" i="29"/>
  <c r="J115" i="28" s="1"/>
  <c r="D222" i="29"/>
  <c r="I115" i="28" s="1"/>
  <c r="E221" i="29"/>
  <c r="J114" i="28" s="1"/>
  <c r="L114" i="28" s="1"/>
  <c r="D221" i="29"/>
  <c r="I114" i="28" s="1"/>
  <c r="E220" i="29"/>
  <c r="J113" i="28" s="1"/>
  <c r="L113" i="28" s="1"/>
  <c r="D220" i="29"/>
  <c r="I113" i="28" s="1"/>
  <c r="E219" i="29"/>
  <c r="D219" i="29"/>
  <c r="I112" i="28" s="1"/>
  <c r="E217" i="29"/>
  <c r="J110" i="28" s="1"/>
  <c r="L110" i="28" s="1"/>
  <c r="D217" i="29"/>
  <c r="E215" i="29"/>
  <c r="J108" i="28" s="1"/>
  <c r="L108" i="28" s="1"/>
  <c r="D215" i="29"/>
  <c r="I108" i="28" s="1"/>
  <c r="E213" i="29"/>
  <c r="D213" i="29"/>
  <c r="E212" i="29"/>
  <c r="D212" i="29"/>
  <c r="E211" i="29"/>
  <c r="J96" i="28" s="1"/>
  <c r="D211" i="29"/>
  <c r="I96" i="28" s="1"/>
  <c r="E210" i="29"/>
  <c r="J95" i="28" s="1"/>
  <c r="L95" i="28" s="1"/>
  <c r="D210" i="29"/>
  <c r="I95" i="28" s="1"/>
  <c r="E209" i="29"/>
  <c r="J94" i="28" s="1"/>
  <c r="D209" i="29"/>
  <c r="I94" i="28" s="1"/>
  <c r="E206" i="29"/>
  <c r="D206" i="29"/>
  <c r="E205" i="29"/>
  <c r="D205" i="29"/>
  <c r="E203" i="29"/>
  <c r="D203" i="29"/>
  <c r="E202" i="29"/>
  <c r="D202" i="29"/>
  <c r="E199" i="29"/>
  <c r="D199" i="29"/>
  <c r="I85" i="28" s="1"/>
  <c r="E198" i="29"/>
  <c r="L84" i="28" s="1"/>
  <c r="D198" i="29"/>
  <c r="I84" i="28" s="1"/>
  <c r="E197" i="29"/>
  <c r="D197" i="29"/>
  <c r="I83" i="28" s="1"/>
  <c r="E196" i="29"/>
  <c r="D196" i="29"/>
  <c r="I82" i="28" s="1"/>
  <c r="E194" i="29"/>
  <c r="L80" i="28" s="1"/>
  <c r="D194" i="29"/>
  <c r="I80" i="28" s="1"/>
  <c r="E193" i="29"/>
  <c r="D193" i="29"/>
  <c r="E191" i="29"/>
  <c r="D191" i="29"/>
  <c r="E190" i="29"/>
  <c r="D190" i="29"/>
  <c r="E188" i="29"/>
  <c r="D188" i="29"/>
  <c r="E187" i="29"/>
  <c r="D187" i="29"/>
  <c r="E185" i="29"/>
  <c r="D185" i="29"/>
  <c r="E184" i="29"/>
  <c r="D184" i="29"/>
  <c r="E183" i="29"/>
  <c r="D183" i="29"/>
  <c r="E182" i="29"/>
  <c r="D182" i="29"/>
  <c r="E180" i="29"/>
  <c r="D180" i="29"/>
  <c r="I76" i="28" s="1"/>
  <c r="E179" i="29"/>
  <c r="D179" i="29"/>
  <c r="E178" i="29"/>
  <c r="D178" i="29"/>
  <c r="E177" i="29"/>
  <c r="D177" i="29"/>
  <c r="E175" i="29"/>
  <c r="D175" i="29"/>
  <c r="E174" i="29"/>
  <c r="D174" i="29"/>
  <c r="I74" i="28" s="1"/>
  <c r="E172" i="29"/>
  <c r="D172" i="29"/>
  <c r="E171" i="29"/>
  <c r="D171" i="29"/>
  <c r="E170" i="29"/>
  <c r="D170" i="29"/>
  <c r="E169" i="29"/>
  <c r="D169" i="29"/>
  <c r="E166" i="29"/>
  <c r="D166" i="29"/>
  <c r="I71" i="28" s="1"/>
  <c r="E165" i="29"/>
  <c r="D165" i="29"/>
  <c r="E164" i="29"/>
  <c r="D164" i="29"/>
  <c r="E163" i="29"/>
  <c r="L70" i="28" s="1"/>
  <c r="D163" i="29"/>
  <c r="I70" i="28" s="1"/>
  <c r="E162" i="29"/>
  <c r="D162" i="29"/>
  <c r="E161" i="29"/>
  <c r="D161" i="29"/>
  <c r="E160" i="29"/>
  <c r="D160" i="29"/>
  <c r="E159" i="29"/>
  <c r="L68" i="28" s="1"/>
  <c r="D159" i="29"/>
  <c r="I68" i="28" s="1"/>
  <c r="E158" i="29"/>
  <c r="D158" i="29"/>
  <c r="E156" i="29"/>
  <c r="D156" i="29"/>
  <c r="E155" i="29"/>
  <c r="D155" i="29"/>
  <c r="I65" i="28" s="1"/>
  <c r="E154" i="29"/>
  <c r="D154" i="29"/>
  <c r="E153" i="29"/>
  <c r="D153" i="29"/>
  <c r="I64" i="28" s="1"/>
  <c r="E152" i="29"/>
  <c r="L63" i="28" s="1"/>
  <c r="D152" i="29"/>
  <c r="I63" i="28" s="1"/>
  <c r="E151" i="29"/>
  <c r="L62" i="28" s="1"/>
  <c r="D151" i="29"/>
  <c r="I62" i="28" s="1"/>
  <c r="E150" i="29"/>
  <c r="D150" i="29"/>
  <c r="E149" i="29"/>
  <c r="D149" i="29"/>
  <c r="E148" i="29"/>
  <c r="D148" i="29"/>
  <c r="E147" i="29"/>
  <c r="D147" i="29"/>
  <c r="E144" i="29"/>
  <c r="L57" i="28" s="1"/>
  <c r="D144" i="29"/>
  <c r="I57" i="28" s="1"/>
  <c r="E143" i="29"/>
  <c r="L56" i="28" s="1"/>
  <c r="D143" i="29"/>
  <c r="I56" i="28" s="1"/>
  <c r="E142" i="29"/>
  <c r="L55" i="28" s="1"/>
  <c r="D142" i="29"/>
  <c r="I55" i="28" s="1"/>
  <c r="E141" i="29"/>
  <c r="L54" i="28" s="1"/>
  <c r="D141" i="29"/>
  <c r="E140" i="29"/>
  <c r="D140" i="29"/>
  <c r="E138" i="29"/>
  <c r="L51" i="28" s="1"/>
  <c r="D138" i="29"/>
  <c r="I51" i="28" s="1"/>
  <c r="E137" i="29"/>
  <c r="D137" i="29"/>
  <c r="E136" i="29"/>
  <c r="D136" i="29"/>
  <c r="I50" i="28" s="1"/>
  <c r="E135" i="29"/>
  <c r="D135" i="29"/>
  <c r="E134" i="29"/>
  <c r="D134" i="29"/>
  <c r="E133" i="29"/>
  <c r="D133" i="29"/>
  <c r="E132" i="29"/>
  <c r="D132" i="29"/>
  <c r="E131" i="29"/>
  <c r="D131" i="29"/>
  <c r="E130" i="29"/>
  <c r="D130" i="29"/>
  <c r="E127" i="29"/>
  <c r="L44" i="28" s="1"/>
  <c r="D127" i="29"/>
  <c r="I44" i="28" s="1"/>
  <c r="E126" i="29"/>
  <c r="D126" i="29"/>
  <c r="E125" i="29"/>
  <c r="D125" i="29"/>
  <c r="E124" i="29"/>
  <c r="D124" i="29"/>
  <c r="E123" i="29"/>
  <c r="D123" i="29"/>
  <c r="E122" i="29"/>
  <c r="D122" i="29"/>
  <c r="E121" i="29"/>
  <c r="D121" i="29"/>
  <c r="E119" i="29"/>
  <c r="L43" i="28" s="1"/>
  <c r="D119" i="29"/>
  <c r="I43" i="28" s="1"/>
  <c r="E118" i="29"/>
  <c r="D118" i="29"/>
  <c r="E117" i="29"/>
  <c r="D117" i="29"/>
  <c r="E116" i="29"/>
  <c r="D116" i="29"/>
  <c r="E115" i="29"/>
  <c r="D115" i="29"/>
  <c r="E114" i="29"/>
  <c r="D114" i="29"/>
  <c r="E113" i="29"/>
  <c r="D113" i="29"/>
  <c r="E112" i="29"/>
  <c r="D112" i="29"/>
  <c r="E111" i="29"/>
  <c r="D111" i="29"/>
  <c r="E107" i="29"/>
  <c r="D107" i="29"/>
  <c r="E106" i="29"/>
  <c r="D106" i="29"/>
  <c r="E105" i="29"/>
  <c r="D105" i="29"/>
  <c r="E104" i="29"/>
  <c r="D104" i="29"/>
  <c r="E102" i="29"/>
  <c r="D102" i="29"/>
  <c r="I35" i="28" s="1"/>
  <c r="E100" i="29"/>
  <c r="L33" i="28" s="1"/>
  <c r="D100" i="29"/>
  <c r="I33" i="28" s="1"/>
  <c r="E99" i="29"/>
  <c r="L32" i="28" s="1"/>
  <c r="D99" i="29"/>
  <c r="I32" i="28" s="1"/>
  <c r="E98" i="29"/>
  <c r="L31" i="28" s="1"/>
  <c r="D98" i="29"/>
  <c r="I31" i="28" s="1"/>
  <c r="E97" i="29"/>
  <c r="D97" i="29"/>
  <c r="I30" i="28" s="1"/>
  <c r="E94" i="29"/>
  <c r="D94" i="29"/>
  <c r="E93" i="29"/>
  <c r="D93" i="29"/>
  <c r="E92" i="29"/>
  <c r="D92" i="29"/>
  <c r="E91" i="29"/>
  <c r="D91" i="29"/>
  <c r="E90" i="29"/>
  <c r="D90" i="29"/>
  <c r="E89" i="29"/>
  <c r="D89" i="29"/>
  <c r="E88" i="29"/>
  <c r="D88" i="29"/>
  <c r="E87" i="29"/>
  <c r="D87" i="29"/>
  <c r="E85" i="29"/>
  <c r="D85" i="29"/>
  <c r="I26" i="28" s="1"/>
  <c r="E84" i="29"/>
  <c r="D84" i="29"/>
  <c r="E83" i="29"/>
  <c r="D83" i="29"/>
  <c r="E81" i="29"/>
  <c r="D81" i="29"/>
  <c r="I24" i="28" s="1"/>
  <c r="E80" i="29"/>
  <c r="D80" i="29"/>
  <c r="E79" i="29"/>
  <c r="D79" i="29"/>
  <c r="E77" i="29"/>
  <c r="D77" i="29"/>
  <c r="E76" i="29"/>
  <c r="D76" i="29"/>
  <c r="E74" i="29"/>
  <c r="D74" i="29"/>
  <c r="E73" i="29"/>
  <c r="D73" i="29"/>
  <c r="E71" i="29"/>
  <c r="D71" i="29"/>
  <c r="E70" i="29"/>
  <c r="D70" i="29"/>
  <c r="E68" i="29"/>
  <c r="D68" i="29"/>
  <c r="E67" i="29"/>
  <c r="D67" i="29"/>
  <c r="E65" i="29"/>
  <c r="D65" i="29"/>
  <c r="E64" i="29"/>
  <c r="D64" i="29"/>
  <c r="E61" i="29"/>
  <c r="D61" i="29"/>
  <c r="I16" i="28" s="1"/>
  <c r="E60" i="29"/>
  <c r="D60" i="29"/>
  <c r="E57" i="29"/>
  <c r="D57" i="29"/>
  <c r="E56" i="29"/>
  <c r="D56" i="29"/>
  <c r="E55" i="29"/>
  <c r="D55" i="29"/>
  <c r="E54" i="29"/>
  <c r="D54" i="29"/>
  <c r="E52" i="29"/>
  <c r="D52" i="29"/>
  <c r="E51" i="29"/>
  <c r="D51" i="29"/>
  <c r="E50" i="29"/>
  <c r="D50" i="29"/>
  <c r="E49" i="29"/>
  <c r="D49" i="29"/>
  <c r="E48" i="29"/>
  <c r="D48" i="29"/>
  <c r="E47" i="29"/>
  <c r="D47" i="29"/>
  <c r="E46" i="29"/>
  <c r="D46" i="29"/>
  <c r="E45" i="29"/>
  <c r="D45" i="29"/>
  <c r="E43" i="29"/>
  <c r="L11" i="28" s="1"/>
  <c r="D43" i="29"/>
  <c r="I11" i="28" s="1"/>
  <c r="E42" i="29"/>
  <c r="D42" i="29"/>
  <c r="E41" i="29"/>
  <c r="D41" i="29"/>
  <c r="E40" i="29"/>
  <c r="D40" i="29"/>
  <c r="E39" i="29"/>
  <c r="D39" i="29"/>
  <c r="E37" i="29"/>
  <c r="D37" i="29"/>
  <c r="E36" i="29"/>
  <c r="D36" i="29"/>
  <c r="E34" i="29"/>
  <c r="D34" i="29"/>
  <c r="J33" i="29"/>
  <c r="E33" i="29"/>
  <c r="D33" i="29"/>
  <c r="L160" i="28"/>
  <c r="K160" i="28"/>
  <c r="L156" i="28"/>
  <c r="K156" i="28"/>
  <c r="J150" i="28"/>
  <c r="L150" i="28" s="1"/>
  <c r="L136" i="28"/>
  <c r="K136" i="28"/>
  <c r="L135" i="28"/>
  <c r="K135" i="28"/>
  <c r="L131" i="28"/>
  <c r="K131" i="28"/>
  <c r="L124" i="28"/>
  <c r="K124" i="28"/>
  <c r="J118" i="28"/>
  <c r="L118" i="28" s="1"/>
  <c r="L87" i="28"/>
  <c r="K87" i="28"/>
  <c r="I54" i="28"/>
  <c r="L50" i="28"/>
  <c r="H46" i="28"/>
  <c r="G46" i="28"/>
  <c r="L45" i="28"/>
  <c r="K45" i="28"/>
  <c r="H29" i="28"/>
  <c r="G29" i="28"/>
  <c r="H28" i="28"/>
  <c r="G28" i="28"/>
  <c r="L27" i="28"/>
  <c r="K27" i="28"/>
  <c r="I15" i="28"/>
  <c r="I14" i="28" s="1"/>
  <c r="C95" i="32" l="1"/>
  <c r="J154" i="28"/>
  <c r="J166" i="28"/>
  <c r="L166" i="28" s="1"/>
  <c r="J133" i="28"/>
  <c r="L133" i="28" s="1"/>
  <c r="J142" i="28"/>
  <c r="L142" i="28" s="1"/>
  <c r="D86" i="29"/>
  <c r="D53" i="29"/>
  <c r="D204" i="29"/>
  <c r="I89" i="28" s="1"/>
  <c r="D248" i="29"/>
  <c r="I127" i="28" s="1"/>
  <c r="D283" i="29"/>
  <c r="I139" i="28" s="1"/>
  <c r="I154" i="28"/>
  <c r="K154" i="28" s="1"/>
  <c r="L154" i="28" s="1"/>
  <c r="D38" i="29"/>
  <c r="I10" i="28" s="1"/>
  <c r="D66" i="29"/>
  <c r="I19" i="28" s="1"/>
  <c r="D69" i="29"/>
  <c r="I20" i="28" s="1"/>
  <c r="D75" i="29"/>
  <c r="I22" i="28" s="1"/>
  <c r="D120" i="29"/>
  <c r="I42" i="28" s="1"/>
  <c r="D139" i="29"/>
  <c r="D129" i="29" s="1"/>
  <c r="I61" i="28"/>
  <c r="I69" i="28"/>
  <c r="D186" i="29"/>
  <c r="D192" i="29"/>
  <c r="I145" i="28"/>
  <c r="I166" i="28"/>
  <c r="K166" i="28" s="1"/>
  <c r="D271" i="29"/>
  <c r="D296" i="29"/>
  <c r="D313" i="29"/>
  <c r="I148" i="28" s="1"/>
  <c r="D318" i="29"/>
  <c r="D333" i="29"/>
  <c r="I157" i="28" s="1"/>
  <c r="I133" i="28"/>
  <c r="K133" i="28" s="1"/>
  <c r="K150" i="28"/>
  <c r="C107" i="32" s="1"/>
  <c r="E218" i="29"/>
  <c r="E216" i="29" s="1"/>
  <c r="I142" i="28"/>
  <c r="I132" i="28"/>
  <c r="K165" i="28"/>
  <c r="L165" i="28" s="1"/>
  <c r="K163" i="28"/>
  <c r="D226" i="29"/>
  <c r="I119" i="28" s="1"/>
  <c r="D341" i="29"/>
  <c r="D327" i="29"/>
  <c r="D218" i="29"/>
  <c r="D216" i="29" s="1"/>
  <c r="D257" i="29"/>
  <c r="I128" i="28" s="1"/>
  <c r="D277" i="29"/>
  <c r="I138" i="28" s="1"/>
  <c r="I110" i="28"/>
  <c r="D265" i="29"/>
  <c r="D263" i="29" s="1"/>
  <c r="I129" i="28" s="1"/>
  <c r="D307" i="29"/>
  <c r="I146" i="28" s="1"/>
  <c r="D321" i="29"/>
  <c r="E69" i="29"/>
  <c r="I97" i="28"/>
  <c r="I98" i="28" s="1"/>
  <c r="I81" i="28"/>
  <c r="I79" i="28"/>
  <c r="K79" i="28" s="1"/>
  <c r="D110" i="29"/>
  <c r="I41" i="28" s="1"/>
  <c r="D103" i="29"/>
  <c r="I36" i="28" s="1"/>
  <c r="I34" i="28" s="1"/>
  <c r="D157" i="29"/>
  <c r="L78" i="28"/>
  <c r="K43" i="28"/>
  <c r="D35" i="29"/>
  <c r="I9" i="28" s="1"/>
  <c r="D44" i="29"/>
  <c r="I12" i="28" s="1"/>
  <c r="D82" i="29"/>
  <c r="D78" i="29"/>
  <c r="I23" i="28" s="1"/>
  <c r="D63" i="29"/>
  <c r="I18" i="28" s="1"/>
  <c r="D168" i="29"/>
  <c r="D189" i="29"/>
  <c r="D201" i="29"/>
  <c r="K15" i="28"/>
  <c r="I49" i="28"/>
  <c r="I48" i="28" s="1"/>
  <c r="I53" i="28"/>
  <c r="I52" i="28" s="1"/>
  <c r="I67" i="28"/>
  <c r="G67" i="28" s="1"/>
  <c r="D59" i="29"/>
  <c r="D72" i="29"/>
  <c r="I21" i="28" s="1"/>
  <c r="E146" i="29"/>
  <c r="L69" i="28"/>
  <c r="J97" i="28"/>
  <c r="L97" i="28" s="1"/>
  <c r="K56" i="28"/>
  <c r="K61" i="28"/>
  <c r="E53" i="29"/>
  <c r="L26" i="28"/>
  <c r="K26" i="28"/>
  <c r="K70" i="28"/>
  <c r="C102" i="32" s="1"/>
  <c r="K74" i="28"/>
  <c r="L74" i="28" s="1"/>
  <c r="L15" i="28"/>
  <c r="K51" i="28"/>
  <c r="K68" i="28"/>
  <c r="C100" i="32" s="1"/>
  <c r="K80" i="28"/>
  <c r="K95" i="28"/>
  <c r="E38" i="29"/>
  <c r="L10" i="28" s="1"/>
  <c r="K54" i="28"/>
  <c r="K63" i="28"/>
  <c r="K65" i="28"/>
  <c r="L65" i="28" s="1"/>
  <c r="E32" i="29"/>
  <c r="L8" i="28" s="1"/>
  <c r="E66" i="29"/>
  <c r="E96" i="29"/>
  <c r="E120" i="29"/>
  <c r="L48" i="28"/>
  <c r="L52" i="28"/>
  <c r="E186" i="29"/>
  <c r="E189" i="29"/>
  <c r="E201" i="29"/>
  <c r="J88" i="28" s="1"/>
  <c r="L88" i="28" s="1"/>
  <c r="E204" i="29"/>
  <c r="J89" i="28" s="1"/>
  <c r="E208" i="29"/>
  <c r="K16" i="28"/>
  <c r="L14" i="28"/>
  <c r="L16" i="28"/>
  <c r="K32" i="28"/>
  <c r="K30" i="28"/>
  <c r="L94" i="28"/>
  <c r="E44" i="29"/>
  <c r="E72" i="29"/>
  <c r="E75" i="29"/>
  <c r="E82" i="29"/>
  <c r="K11" i="28"/>
  <c r="K31" i="28"/>
  <c r="K33" i="28"/>
  <c r="K44" i="28"/>
  <c r="K50" i="28"/>
  <c r="K55" i="28"/>
  <c r="K57" i="28"/>
  <c r="K62" i="28"/>
  <c r="K64" i="28"/>
  <c r="L64" i="28" s="1"/>
  <c r="K71" i="28"/>
  <c r="C46" i="32" s="1"/>
  <c r="E35" i="29"/>
  <c r="E59" i="29"/>
  <c r="E78" i="29"/>
  <c r="E157" i="29"/>
  <c r="E168" i="29"/>
  <c r="K96" i="28"/>
  <c r="L96" i="28" s="1"/>
  <c r="K76" i="28"/>
  <c r="C49" i="32" s="1"/>
  <c r="K82" i="28"/>
  <c r="L82" i="28" s="1"/>
  <c r="K94" i="28"/>
  <c r="J112" i="28"/>
  <c r="L112" i="28" s="1"/>
  <c r="K164" i="28"/>
  <c r="E226" i="29"/>
  <c r="J119" i="28" s="1"/>
  <c r="K151" i="28"/>
  <c r="C32" i="32" s="1"/>
  <c r="E318" i="29"/>
  <c r="E321" i="29"/>
  <c r="E341" i="29"/>
  <c r="L163" i="28"/>
  <c r="J145" i="28"/>
  <c r="E313" i="29"/>
  <c r="J148" i="28" s="1"/>
  <c r="L148" i="28" s="1"/>
  <c r="K115" i="28"/>
  <c r="L115" i="28" s="1"/>
  <c r="K108" i="28"/>
  <c r="K113" i="28"/>
  <c r="K143" i="28"/>
  <c r="E248" i="29"/>
  <c r="J127" i="28" s="1"/>
  <c r="L127" i="28" s="1"/>
  <c r="E257" i="29"/>
  <c r="J128" i="28" s="1"/>
  <c r="E271" i="29"/>
  <c r="E277" i="29"/>
  <c r="J138" i="28" s="1"/>
  <c r="E327" i="29"/>
  <c r="E333" i="29"/>
  <c r="J157" i="28" s="1"/>
  <c r="E336" i="29"/>
  <c r="J158" i="28" s="1"/>
  <c r="L158" i="28" s="1"/>
  <c r="K121" i="28"/>
  <c r="K152" i="28"/>
  <c r="E265" i="29"/>
  <c r="E263" i="29" s="1"/>
  <c r="J129" i="28" s="1"/>
  <c r="E296" i="29"/>
  <c r="E307" i="29"/>
  <c r="J146" i="28" s="1"/>
  <c r="L146" i="28" s="1"/>
  <c r="K116" i="28"/>
  <c r="L116" i="28" s="1"/>
  <c r="K118" i="28"/>
  <c r="K144" i="28"/>
  <c r="D146" i="29"/>
  <c r="K35" i="28"/>
  <c r="L117" i="28"/>
  <c r="K117" i="28"/>
  <c r="L35" i="28"/>
  <c r="J167" i="28"/>
  <c r="L24" i="28"/>
  <c r="K24" i="28"/>
  <c r="K147" i="28"/>
  <c r="L147" i="28" s="1"/>
  <c r="I29" i="28"/>
  <c r="I125" i="28"/>
  <c r="K84" i="28"/>
  <c r="I60" i="28"/>
  <c r="G60" i="28" s="1"/>
  <c r="K85" i="28"/>
  <c r="L85" i="28"/>
  <c r="K83" i="28"/>
  <c r="L83" i="28" s="1"/>
  <c r="K153" i="28"/>
  <c r="C33" i="32" s="1"/>
  <c r="E63" i="29"/>
  <c r="E103" i="29"/>
  <c r="D195" i="29"/>
  <c r="D240" i="29"/>
  <c r="I126" i="28" s="1"/>
  <c r="L53" i="28"/>
  <c r="L79" i="28"/>
  <c r="K110" i="28"/>
  <c r="J134" i="28"/>
  <c r="L134" i="28" s="1"/>
  <c r="E240" i="29"/>
  <c r="K137" i="28"/>
  <c r="C109" i="32" s="1"/>
  <c r="K140" i="28"/>
  <c r="C28" i="32" s="1"/>
  <c r="E110" i="29"/>
  <c r="E195" i="29"/>
  <c r="D208" i="29"/>
  <c r="D336" i="29"/>
  <c r="I158" i="28" s="1"/>
  <c r="D32" i="29"/>
  <c r="D96" i="29"/>
  <c r="E176" i="29"/>
  <c r="L75" i="28" s="1"/>
  <c r="E232" i="29"/>
  <c r="J120" i="28" s="1"/>
  <c r="L120" i="28" s="1"/>
  <c r="I111" i="28"/>
  <c r="D176" i="29"/>
  <c r="I75" i="28" s="1"/>
  <c r="D232" i="29"/>
  <c r="I120" i="28" s="1"/>
  <c r="E283" i="29"/>
  <c r="J139" i="28" s="1"/>
  <c r="K114" i="28"/>
  <c r="E86" i="29"/>
  <c r="D101" i="29"/>
  <c r="E139" i="29"/>
  <c r="E129" i="29" s="1"/>
  <c r="E192" i="29"/>
  <c r="E395" i="30"/>
  <c r="J111" i="28" l="1"/>
  <c r="I134" i="28"/>
  <c r="I25" i="28"/>
  <c r="J82" i="29"/>
  <c r="K111" i="28"/>
  <c r="K19" i="28"/>
  <c r="J98" i="28"/>
  <c r="K98" i="28" s="1"/>
  <c r="L98" i="28" s="1"/>
  <c r="K89" i="28"/>
  <c r="L89" i="28" s="1"/>
  <c r="I167" i="28"/>
  <c r="K167" i="28" s="1"/>
  <c r="L167" i="28" s="1"/>
  <c r="K112" i="28"/>
  <c r="I141" i="28"/>
  <c r="K142" i="28"/>
  <c r="K138" i="28"/>
  <c r="L138" i="28" s="1"/>
  <c r="D145" i="29"/>
  <c r="K42" i="28"/>
  <c r="L42" i="28" s="1"/>
  <c r="I17" i="28"/>
  <c r="I13" i="28" s="1"/>
  <c r="I78" i="28"/>
  <c r="K78" i="28" s="1"/>
  <c r="K20" i="28"/>
  <c r="L20" i="28" s="1"/>
  <c r="I40" i="28"/>
  <c r="C53" i="32"/>
  <c r="I66" i="28"/>
  <c r="K66" i="28" s="1"/>
  <c r="L66" i="28" s="1"/>
  <c r="D181" i="29"/>
  <c r="I77" i="28" s="1"/>
  <c r="D109" i="29"/>
  <c r="D295" i="29"/>
  <c r="K132" i="28"/>
  <c r="D317" i="29"/>
  <c r="I149" i="28" s="1"/>
  <c r="I155" i="28" s="1"/>
  <c r="J141" i="28"/>
  <c r="I109" i="28"/>
  <c r="L151" i="28"/>
  <c r="D238" i="29"/>
  <c r="L61" i="28"/>
  <c r="K53" i="28"/>
  <c r="D62" i="29"/>
  <c r="D58" i="29" s="1"/>
  <c r="E145" i="29"/>
  <c r="L19" i="28"/>
  <c r="K67" i="28"/>
  <c r="C99" i="32" s="1"/>
  <c r="D167" i="29"/>
  <c r="I73" i="28"/>
  <c r="I72" i="28" s="1"/>
  <c r="D200" i="29"/>
  <c r="I88" i="28"/>
  <c r="K97" i="28"/>
  <c r="C98" i="32"/>
  <c r="K14" i="28"/>
  <c r="K52" i="28"/>
  <c r="K69" i="28"/>
  <c r="C101" i="32" s="1"/>
  <c r="E181" i="29"/>
  <c r="E200" i="29"/>
  <c r="L49" i="28"/>
  <c r="K10" i="28"/>
  <c r="J90" i="28"/>
  <c r="L47" i="28"/>
  <c r="K49" i="28"/>
  <c r="E31" i="29"/>
  <c r="K25" i="28"/>
  <c r="L25" i="28" s="1"/>
  <c r="L76" i="28"/>
  <c r="K22" i="28"/>
  <c r="L22" i="28" s="1"/>
  <c r="L71" i="28"/>
  <c r="K23" i="28"/>
  <c r="L23" i="28" s="1"/>
  <c r="E167" i="29"/>
  <c r="L9" i="28"/>
  <c r="K9" i="28"/>
  <c r="K21" i="28"/>
  <c r="L21" i="28" s="1"/>
  <c r="K12" i="28"/>
  <c r="L12" i="28" s="1"/>
  <c r="L30" i="28"/>
  <c r="L29" i="28"/>
  <c r="K148" i="28"/>
  <c r="K119" i="28"/>
  <c r="L119" i="28" s="1"/>
  <c r="K145" i="28"/>
  <c r="L145" i="28" s="1"/>
  <c r="E317" i="29"/>
  <c r="J149" i="28" s="1"/>
  <c r="K158" i="28"/>
  <c r="E332" i="29"/>
  <c r="K120" i="28"/>
  <c r="E295" i="29"/>
  <c r="K146" i="28"/>
  <c r="K129" i="28"/>
  <c r="L129" i="28" s="1"/>
  <c r="K127" i="28"/>
  <c r="L153" i="28"/>
  <c r="E214" i="29"/>
  <c r="K128" i="28"/>
  <c r="L128" i="28" s="1"/>
  <c r="E109" i="29"/>
  <c r="D31" i="29"/>
  <c r="I8" i="28"/>
  <c r="K157" i="28"/>
  <c r="I159" i="28"/>
  <c r="I59" i="28"/>
  <c r="K139" i="28"/>
  <c r="C27" i="32" s="1"/>
  <c r="E62" i="29"/>
  <c r="E58" i="29" s="1"/>
  <c r="I28" i="28"/>
  <c r="D332" i="29"/>
  <c r="K75" i="28"/>
  <c r="K134" i="28"/>
  <c r="J109" i="28"/>
  <c r="L111" i="28"/>
  <c r="E238" i="29"/>
  <c r="J126" i="28"/>
  <c r="K81" i="28"/>
  <c r="L81" i="28" s="1"/>
  <c r="D95" i="29"/>
  <c r="E101" i="29"/>
  <c r="E95" i="29" s="1"/>
  <c r="J36" i="28"/>
  <c r="J159" i="28"/>
  <c r="L157" i="28"/>
  <c r="I130" i="28"/>
  <c r="K125" i="28"/>
  <c r="C113" i="32"/>
  <c r="K48" i="28"/>
  <c r="I47" i="28"/>
  <c r="L159" i="28" l="1"/>
  <c r="D128" i="29"/>
  <c r="D108" i="29" s="1"/>
  <c r="E275" i="29"/>
  <c r="E340" i="29" s="1"/>
  <c r="K141" i="28"/>
  <c r="C29" i="32" s="1"/>
  <c r="C34" i="32"/>
  <c r="K60" i="28"/>
  <c r="L60" i="28" s="1"/>
  <c r="K77" i="28"/>
  <c r="L77" i="28" s="1"/>
  <c r="D275" i="29"/>
  <c r="J155" i="28"/>
  <c r="C36" i="32"/>
  <c r="C103" i="32"/>
  <c r="E128" i="29"/>
  <c r="E108" i="29" s="1"/>
  <c r="L67" i="28"/>
  <c r="I90" i="28"/>
  <c r="K88" i="28"/>
  <c r="C55" i="32" s="1"/>
  <c r="C38" i="32"/>
  <c r="K29" i="28"/>
  <c r="K73" i="28"/>
  <c r="L73" i="28" s="1"/>
  <c r="E30" i="29"/>
  <c r="K149" i="28"/>
  <c r="C31" i="32" s="1"/>
  <c r="L139" i="28"/>
  <c r="K47" i="28"/>
  <c r="J130" i="28"/>
  <c r="K126" i="28"/>
  <c r="L126" i="28" s="1"/>
  <c r="K159" i="28"/>
  <c r="K41" i="28"/>
  <c r="C52" i="32" s="1"/>
  <c r="C54" i="32" s="1"/>
  <c r="L36" i="28"/>
  <c r="K36" i="28"/>
  <c r="K109" i="28"/>
  <c r="L109" i="28" s="1"/>
  <c r="I58" i="28"/>
  <c r="K58" i="28" s="1"/>
  <c r="L58" i="28" s="1"/>
  <c r="K59" i="28"/>
  <c r="L18" i="28"/>
  <c r="K18" i="28"/>
  <c r="I7" i="28"/>
  <c r="K8" i="28"/>
  <c r="D30" i="29"/>
  <c r="L141" i="28" l="1"/>
  <c r="K130" i="28"/>
  <c r="K155" i="28"/>
  <c r="L155" i="28" s="1"/>
  <c r="C35" i="32"/>
  <c r="K90" i="28"/>
  <c r="L90" i="28" s="1"/>
  <c r="D207" i="29"/>
  <c r="C50" i="32"/>
  <c r="L149" i="28"/>
  <c r="E207" i="29"/>
  <c r="C45" i="32"/>
  <c r="L59" i="28"/>
  <c r="L41" i="28"/>
  <c r="K72" i="28"/>
  <c r="C47" i="32" s="1"/>
  <c r="L130" i="28"/>
  <c r="L34" i="28"/>
  <c r="K34" i="28"/>
  <c r="K7" i="28"/>
  <c r="L7" i="28" s="1"/>
  <c r="I37" i="28"/>
  <c r="I46" i="28"/>
  <c r="L17" i="28"/>
  <c r="K17" i="28"/>
  <c r="C51" i="32" l="1"/>
  <c r="L72" i="28"/>
  <c r="K46" i="28"/>
  <c r="L46" i="28" s="1"/>
  <c r="I86" i="28"/>
  <c r="J37" i="28"/>
  <c r="K13" i="28"/>
  <c r="L13" i="28" s="1"/>
  <c r="L28" i="28"/>
  <c r="K28" i="28"/>
  <c r="I92" i="28" l="1"/>
  <c r="K37" i="28"/>
  <c r="L37" i="28" s="1"/>
  <c r="H1243" i="3" l="1"/>
  <c r="H390" i="2" s="1"/>
  <c r="H389" i="2"/>
  <c r="H391" i="2" l="1"/>
  <c r="E830" i="3" l="1"/>
  <c r="E829" i="3"/>
  <c r="E828" i="3"/>
  <c r="E827" i="3"/>
  <c r="E826" i="3"/>
  <c r="E825" i="3"/>
  <c r="E824" i="3"/>
  <c r="E823" i="3"/>
  <c r="E811" i="3"/>
  <c r="E810" i="3"/>
  <c r="E809" i="3"/>
  <c r="E808" i="3"/>
  <c r="E807" i="3"/>
  <c r="E806" i="3"/>
  <c r="E805" i="3"/>
  <c r="E804" i="3"/>
  <c r="E1242" i="3" l="1"/>
  <c r="E1240" i="3"/>
  <c r="D584" i="4" s="1"/>
  <c r="E583" i="4"/>
  <c r="E1238" i="3"/>
  <c r="D583" i="4" s="1"/>
  <c r="E1235" i="3"/>
  <c r="D581" i="4" s="1"/>
  <c r="E580" i="4"/>
  <c r="E114" i="1" s="1"/>
  <c r="E1233" i="3"/>
  <c r="D580" i="4" s="1"/>
  <c r="E579" i="4"/>
  <c r="E113" i="1" s="1"/>
  <c r="E1231" i="3"/>
  <c r="D579" i="4" s="1"/>
  <c r="E1229" i="3"/>
  <c r="D578" i="4" s="1"/>
  <c r="E573" i="4"/>
  <c r="E1225" i="3"/>
  <c r="D573" i="4" s="1"/>
  <c r="E572" i="4"/>
  <c r="E1223" i="3"/>
  <c r="D572" i="4" s="1"/>
  <c r="E571" i="4"/>
  <c r="E1221" i="3"/>
  <c r="D571" i="4" s="1"/>
  <c r="E570" i="4"/>
  <c r="E1219" i="3"/>
  <c r="D570" i="4" s="1"/>
  <c r="E569" i="4"/>
  <c r="E1217" i="3"/>
  <c r="D569" i="4" s="1"/>
  <c r="E568" i="4"/>
  <c r="E1215" i="3"/>
  <c r="D568" i="4" s="1"/>
  <c r="E567" i="4"/>
  <c r="E1213" i="3"/>
  <c r="D567" i="4" s="1"/>
  <c r="E1211" i="3"/>
  <c r="D566" i="4" s="1"/>
  <c r="E564" i="4"/>
  <c r="E1208" i="3"/>
  <c r="D564" i="4" s="1"/>
  <c r="E1206" i="3"/>
  <c r="D563" i="4" s="1"/>
  <c r="E561" i="4"/>
  <c r="E1203" i="3"/>
  <c r="D561" i="4" s="1"/>
  <c r="E560" i="4"/>
  <c r="E1201" i="3"/>
  <c r="D560" i="4" s="1"/>
  <c r="E559" i="4"/>
  <c r="E1199" i="3"/>
  <c r="D559" i="4" s="1"/>
  <c r="E558" i="4"/>
  <c r="E1197" i="3"/>
  <c r="D558" i="4" s="1"/>
  <c r="E557" i="4"/>
  <c r="E1195" i="3"/>
  <c r="D557" i="4" s="1"/>
  <c r="E556" i="4"/>
  <c r="E1193" i="3"/>
  <c r="D556" i="4" s="1"/>
  <c r="E555" i="4"/>
  <c r="E1191" i="3"/>
  <c r="D555" i="4" s="1"/>
  <c r="E1189" i="3"/>
  <c r="D554" i="4" s="1"/>
  <c r="E1186" i="3"/>
  <c r="D552" i="4" s="1"/>
  <c r="E550" i="4"/>
  <c r="E1183" i="3"/>
  <c r="D550" i="4" s="1"/>
  <c r="E549" i="4"/>
  <c r="E1181" i="3"/>
  <c r="D549" i="4" s="1"/>
  <c r="E546" i="4"/>
  <c r="E1177" i="3"/>
  <c r="D546" i="4" s="1"/>
  <c r="E545" i="4"/>
  <c r="E1175" i="3"/>
  <c r="D545" i="4" s="1"/>
  <c r="E1172" i="3"/>
  <c r="D543" i="4" s="1"/>
  <c r="E513" i="4"/>
  <c r="E96" i="1" s="1"/>
  <c r="E1168" i="3"/>
  <c r="D513" i="4" s="1"/>
  <c r="E509" i="4"/>
  <c r="E1165" i="3"/>
  <c r="D509" i="4" s="1"/>
  <c r="E508" i="4"/>
  <c r="E1163" i="3"/>
  <c r="D508" i="4" s="1"/>
  <c r="E1160" i="3"/>
  <c r="E1159" i="3"/>
  <c r="E505" i="4"/>
  <c r="E1157" i="3"/>
  <c r="D505" i="4" s="1"/>
  <c r="E504" i="4"/>
  <c r="E1155" i="3"/>
  <c r="D504" i="4" s="1"/>
  <c r="E490" i="4"/>
  <c r="E1151" i="3"/>
  <c r="D490" i="4" s="1"/>
  <c r="E489" i="4"/>
  <c r="E1149" i="3"/>
  <c r="D489" i="4" s="1"/>
  <c r="E488" i="4"/>
  <c r="E1147" i="3"/>
  <c r="D488" i="4" s="1"/>
  <c r="E487" i="4"/>
  <c r="E1145" i="3"/>
  <c r="D487" i="4" s="1"/>
  <c r="E486" i="4"/>
  <c r="E1143" i="3"/>
  <c r="D486" i="4" s="1"/>
  <c r="E485" i="4"/>
  <c r="E1141" i="3"/>
  <c r="D485" i="4" s="1"/>
  <c r="E484" i="4"/>
  <c r="E1139" i="3"/>
  <c r="D484" i="4" s="1"/>
  <c r="E483" i="4"/>
  <c r="E1137" i="3"/>
  <c r="D483" i="4" s="1"/>
  <c r="E482" i="4"/>
  <c r="E1135" i="3"/>
  <c r="D482" i="4" s="1"/>
  <c r="E481" i="4"/>
  <c r="E1133" i="3"/>
  <c r="D481" i="4" s="1"/>
  <c r="E1130" i="3"/>
  <c r="D479" i="4" s="1"/>
  <c r="E1128" i="3"/>
  <c r="E1127" i="3"/>
  <c r="E477" i="4"/>
  <c r="E1125" i="3"/>
  <c r="D477" i="4" s="1"/>
  <c r="E476" i="4"/>
  <c r="E1123" i="3"/>
  <c r="D476" i="4" s="1"/>
  <c r="E475" i="4"/>
  <c r="E1121" i="3"/>
  <c r="D475" i="4" s="1"/>
  <c r="E474" i="4"/>
  <c r="E1119" i="3"/>
  <c r="D474" i="4" s="1"/>
  <c r="E1116" i="3"/>
  <c r="E1115" i="3"/>
  <c r="E471" i="4"/>
  <c r="E1113" i="3"/>
  <c r="D471" i="4" s="1"/>
  <c r="E1111" i="3"/>
  <c r="E1110" i="3"/>
  <c r="E1109" i="3"/>
  <c r="E469" i="4"/>
  <c r="E1107" i="3"/>
  <c r="D469" i="4" s="1"/>
  <c r="E1105" i="3"/>
  <c r="D468" i="4" s="1"/>
  <c r="E467" i="4"/>
  <c r="E1103" i="3"/>
  <c r="D467" i="4" s="1"/>
  <c r="E466" i="4"/>
  <c r="E1101" i="3"/>
  <c r="D466" i="4" s="1"/>
  <c r="E465" i="4"/>
  <c r="E1099" i="3"/>
  <c r="D465" i="4" s="1"/>
  <c r="E462" i="4"/>
  <c r="E1095" i="3"/>
  <c r="D462" i="4" s="1"/>
  <c r="E461" i="4"/>
  <c r="E1093" i="3"/>
  <c r="D461" i="4" s="1"/>
  <c r="E1091" i="3"/>
  <c r="D460" i="4" s="1"/>
  <c r="E459" i="4"/>
  <c r="E1089" i="3"/>
  <c r="D459" i="4" s="1"/>
  <c r="E458" i="4"/>
  <c r="E1087" i="3"/>
  <c r="D458" i="4" s="1"/>
  <c r="E457" i="4"/>
  <c r="E1085" i="3"/>
  <c r="D457" i="4" s="1"/>
  <c r="E1082" i="3"/>
  <c r="D455" i="4" s="1"/>
  <c r="E454" i="4"/>
  <c r="E1080" i="3"/>
  <c r="D454" i="4" s="1"/>
  <c r="E453" i="4"/>
  <c r="E1078" i="3"/>
  <c r="D453" i="4" s="1"/>
  <c r="E452" i="4"/>
  <c r="E1076" i="3"/>
  <c r="D452" i="4" s="1"/>
  <c r="E451" i="4"/>
  <c r="E1074" i="3"/>
  <c r="D451" i="4" s="1"/>
  <c r="E450" i="4"/>
  <c r="E1072" i="3"/>
  <c r="D450" i="4" s="1"/>
  <c r="E449" i="4"/>
  <c r="E1070" i="3"/>
  <c r="D449" i="4" s="1"/>
  <c r="E448" i="4"/>
  <c r="E1068" i="3"/>
  <c r="D448" i="4" s="1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0" i="3"/>
  <c r="E1019" i="3"/>
  <c r="E1018" i="3"/>
  <c r="E1017" i="3"/>
  <c r="E1016" i="3"/>
  <c r="E1015" i="3"/>
  <c r="E1014" i="3"/>
  <c r="E1013" i="3"/>
  <c r="E1012" i="3"/>
  <c r="E1011" i="3"/>
  <c r="E1009" i="3"/>
  <c r="E1008" i="3"/>
  <c r="E1007" i="3"/>
  <c r="E1006" i="3"/>
  <c r="E1002" i="3"/>
  <c r="E1001" i="3"/>
  <c r="E1000" i="3"/>
  <c r="E999" i="3"/>
  <c r="E998" i="3"/>
  <c r="E441" i="4"/>
  <c r="E996" i="3"/>
  <c r="D441" i="4" s="1"/>
  <c r="E440" i="4"/>
  <c r="E994" i="3"/>
  <c r="E990" i="3"/>
  <c r="E989" i="3"/>
  <c r="E988" i="3"/>
  <c r="E987" i="3"/>
  <c r="E986" i="3"/>
  <c r="E985" i="3"/>
  <c r="E984" i="3"/>
  <c r="E983" i="3"/>
  <c r="E435" i="4"/>
  <c r="E981" i="3"/>
  <c r="D435" i="4" s="1"/>
  <c r="E434" i="4"/>
  <c r="E979" i="3"/>
  <c r="D434" i="4" s="1"/>
  <c r="E977" i="3"/>
  <c r="E976" i="3"/>
  <c r="E975" i="3"/>
  <c r="E973" i="3"/>
  <c r="E972" i="3"/>
  <c r="E971" i="3"/>
  <c r="E969" i="3"/>
  <c r="E968" i="3"/>
  <c r="E967" i="3"/>
  <c r="E965" i="3"/>
  <c r="E964" i="3"/>
  <c r="E963" i="3"/>
  <c r="E430" i="4"/>
  <c r="E959" i="3"/>
  <c r="D430" i="4" s="1"/>
  <c r="E957" i="3"/>
  <c r="E956" i="3"/>
  <c r="E955" i="3"/>
  <c r="E954" i="3"/>
  <c r="E953" i="3"/>
  <c r="E952" i="3"/>
  <c r="E951" i="3"/>
  <c r="E427" i="4"/>
  <c r="E948" i="3"/>
  <c r="D427" i="4" s="1"/>
  <c r="E946" i="3"/>
  <c r="E945" i="3"/>
  <c r="E944" i="3"/>
  <c r="E943" i="3"/>
  <c r="E942" i="3"/>
  <c r="E941" i="3"/>
  <c r="E940" i="3"/>
  <c r="E938" i="3"/>
  <c r="E937" i="3"/>
  <c r="E936" i="3"/>
  <c r="E934" i="3"/>
  <c r="E932" i="3"/>
  <c r="E931" i="3"/>
  <c r="E930" i="3"/>
  <c r="E929" i="3"/>
  <c r="E928" i="3"/>
  <c r="E927" i="3"/>
  <c r="E926" i="3"/>
  <c r="E924" i="3"/>
  <c r="E923" i="3"/>
  <c r="E922" i="3"/>
  <c r="E920" i="3"/>
  <c r="E423" i="4"/>
  <c r="E917" i="3"/>
  <c r="D423" i="4" s="1"/>
  <c r="E915" i="3"/>
  <c r="E914" i="3"/>
  <c r="E913" i="3"/>
  <c r="E912" i="3"/>
  <c r="E911" i="3"/>
  <c r="E910" i="3"/>
  <c r="E909" i="3"/>
  <c r="E908" i="3"/>
  <c r="E906" i="3"/>
  <c r="E905" i="3"/>
  <c r="E904" i="3"/>
  <c r="E903" i="3"/>
  <c r="E902" i="3"/>
  <c r="E901" i="3"/>
  <c r="E900" i="3"/>
  <c r="E899" i="3"/>
  <c r="E418" i="4"/>
  <c r="E894" i="3"/>
  <c r="D418" i="4" s="1"/>
  <c r="E892" i="3"/>
  <c r="E891" i="3"/>
  <c r="E890" i="3"/>
  <c r="E889" i="3"/>
  <c r="E888" i="3"/>
  <c r="E887" i="3"/>
  <c r="E886" i="3"/>
  <c r="E884" i="3"/>
  <c r="E883" i="3"/>
  <c r="E882" i="3"/>
  <c r="E880" i="3"/>
  <c r="E878" i="3"/>
  <c r="E877" i="3"/>
  <c r="E876" i="3"/>
  <c r="E875" i="3"/>
  <c r="E874" i="3"/>
  <c r="E873" i="3"/>
  <c r="E872" i="3"/>
  <c r="E870" i="3"/>
  <c r="E869" i="3"/>
  <c r="E868" i="3"/>
  <c r="E866" i="3"/>
  <c r="E863" i="3"/>
  <c r="E862" i="3"/>
  <c r="E861" i="3"/>
  <c r="E860" i="3"/>
  <c r="E859" i="3"/>
  <c r="E858" i="3"/>
  <c r="E857" i="3"/>
  <c r="E855" i="3"/>
  <c r="E854" i="3"/>
  <c r="E853" i="3"/>
  <c r="E851" i="3"/>
  <c r="E849" i="3"/>
  <c r="E848" i="3"/>
  <c r="E847" i="3"/>
  <c r="E846" i="3"/>
  <c r="E845" i="3"/>
  <c r="E844" i="3"/>
  <c r="E843" i="3"/>
  <c r="E841" i="3"/>
  <c r="E840" i="3"/>
  <c r="E839" i="3"/>
  <c r="E837" i="3"/>
  <c r="E414" i="4"/>
  <c r="E832" i="3"/>
  <c r="D414" i="4" s="1"/>
  <c r="E821" i="3"/>
  <c r="E820" i="3"/>
  <c r="E819" i="3"/>
  <c r="E818" i="3"/>
  <c r="E817" i="3"/>
  <c r="E816" i="3"/>
  <c r="E815" i="3"/>
  <c r="E814" i="3"/>
  <c r="E802" i="3"/>
  <c r="E801" i="3"/>
  <c r="E800" i="3"/>
  <c r="E799" i="3"/>
  <c r="E798" i="3"/>
  <c r="E797" i="3"/>
  <c r="E796" i="3"/>
  <c r="E795" i="3"/>
  <c r="E409" i="4"/>
  <c r="E790" i="3"/>
  <c r="D409" i="4" s="1"/>
  <c r="E788" i="3"/>
  <c r="E787" i="3"/>
  <c r="E786" i="3"/>
  <c r="E785" i="3"/>
  <c r="E784" i="3"/>
  <c r="E783" i="3"/>
  <c r="E782" i="3"/>
  <c r="E780" i="3"/>
  <c r="E779" i="3"/>
  <c r="E778" i="3"/>
  <c r="E776" i="3"/>
  <c r="E774" i="3"/>
  <c r="E773" i="3"/>
  <c r="E772" i="3"/>
  <c r="E771" i="3"/>
  <c r="E770" i="3"/>
  <c r="E769" i="3"/>
  <c r="E768" i="3"/>
  <c r="E766" i="3"/>
  <c r="E765" i="3"/>
  <c r="E764" i="3"/>
  <c r="E762" i="3"/>
  <c r="E405" i="4"/>
  <c r="E759" i="3"/>
  <c r="D405" i="4" s="1"/>
  <c r="E757" i="3"/>
  <c r="E756" i="3"/>
  <c r="E755" i="3"/>
  <c r="E754" i="3"/>
  <c r="E753" i="3"/>
  <c r="E752" i="3"/>
  <c r="E751" i="3"/>
  <c r="E750" i="3"/>
  <c r="E748" i="3"/>
  <c r="E747" i="3"/>
  <c r="E746" i="3"/>
  <c r="E745" i="3"/>
  <c r="E744" i="3"/>
  <c r="E743" i="3"/>
  <c r="E742" i="3"/>
  <c r="E741" i="3"/>
  <c r="E400" i="4"/>
  <c r="E737" i="3"/>
  <c r="D400" i="4" s="1"/>
  <c r="E735" i="3"/>
  <c r="E734" i="3"/>
  <c r="E733" i="3"/>
  <c r="E732" i="3"/>
  <c r="E731" i="3"/>
  <c r="E730" i="3"/>
  <c r="E729" i="3"/>
  <c r="E727" i="3"/>
  <c r="E726" i="3"/>
  <c r="E725" i="3"/>
  <c r="E723" i="3"/>
  <c r="E721" i="3"/>
  <c r="E720" i="3"/>
  <c r="E719" i="3"/>
  <c r="E718" i="3"/>
  <c r="E717" i="3"/>
  <c r="E716" i="3"/>
  <c r="E715" i="3"/>
  <c r="E713" i="3"/>
  <c r="E712" i="3"/>
  <c r="E711" i="3"/>
  <c r="E709" i="3"/>
  <c r="E707" i="3"/>
  <c r="E706" i="3"/>
  <c r="E705" i="3"/>
  <c r="E704" i="3"/>
  <c r="E703" i="3"/>
  <c r="E702" i="3"/>
  <c r="E701" i="3"/>
  <c r="E699" i="3"/>
  <c r="E698" i="3"/>
  <c r="E697" i="3"/>
  <c r="E695" i="3"/>
  <c r="E664" i="3"/>
  <c r="E663" i="3"/>
  <c r="E662" i="3"/>
  <c r="E661" i="3"/>
  <c r="E660" i="3"/>
  <c r="E659" i="3"/>
  <c r="E658" i="3"/>
  <c r="E656" i="3"/>
  <c r="E655" i="3"/>
  <c r="E654" i="3"/>
  <c r="E652" i="3"/>
  <c r="E396" i="4"/>
  <c r="E648" i="3"/>
  <c r="D396" i="4" s="1"/>
  <c r="E646" i="3"/>
  <c r="E645" i="3"/>
  <c r="E644" i="3"/>
  <c r="E643" i="3"/>
  <c r="E642" i="3"/>
  <c r="E641" i="3"/>
  <c r="E640" i="3"/>
  <c r="E639" i="3"/>
  <c r="E637" i="3"/>
  <c r="E636" i="3"/>
  <c r="E635" i="3"/>
  <c r="E634" i="3"/>
  <c r="E633" i="3"/>
  <c r="E632" i="3"/>
  <c r="E631" i="3"/>
  <c r="E630" i="3"/>
  <c r="E392" i="4"/>
  <c r="E627" i="3"/>
  <c r="D392" i="4" s="1"/>
  <c r="E625" i="3"/>
  <c r="E624" i="3"/>
  <c r="E623" i="3"/>
  <c r="E622" i="3"/>
  <c r="E621" i="3"/>
  <c r="E620" i="3"/>
  <c r="E619" i="3"/>
  <c r="E618" i="3"/>
  <c r="E616" i="3"/>
  <c r="E615" i="3"/>
  <c r="E614" i="3"/>
  <c r="E613" i="3"/>
  <c r="E612" i="3"/>
  <c r="E611" i="3"/>
  <c r="E610" i="3"/>
  <c r="E609" i="3"/>
  <c r="E385" i="4"/>
  <c r="E603" i="3"/>
  <c r="D385" i="4" s="1"/>
  <c r="E384" i="4"/>
  <c r="E601" i="3"/>
  <c r="D384" i="4" s="1"/>
  <c r="E599" i="3"/>
  <c r="E598" i="3"/>
  <c r="E596" i="3"/>
  <c r="E595" i="3"/>
  <c r="E592" i="3"/>
  <c r="E591" i="3"/>
  <c r="E590" i="3"/>
  <c r="E589" i="3"/>
  <c r="E379" i="4"/>
  <c r="E587" i="3"/>
  <c r="D379" i="4" s="1"/>
  <c r="E584" i="3"/>
  <c r="E583" i="3"/>
  <c r="E375" i="4"/>
  <c r="E580" i="3"/>
  <c r="D375" i="4" s="1"/>
  <c r="E578" i="3"/>
  <c r="E577" i="3"/>
  <c r="E576" i="3"/>
  <c r="E373" i="4"/>
  <c r="E574" i="3"/>
  <c r="D373" i="4" s="1"/>
  <c r="E372" i="4"/>
  <c r="E572" i="3"/>
  <c r="D372" i="4" s="1"/>
  <c r="E371" i="4"/>
  <c r="E570" i="3"/>
  <c r="D371" i="4" s="1"/>
  <c r="E568" i="3"/>
  <c r="E567" i="3"/>
  <c r="E566" i="3"/>
  <c r="E369" i="4"/>
  <c r="E564" i="3"/>
  <c r="D369" i="4" s="1"/>
  <c r="E367" i="4"/>
  <c r="E561" i="3"/>
  <c r="D367" i="4" s="1"/>
  <c r="E366" i="4"/>
  <c r="E559" i="3"/>
  <c r="D366" i="4" s="1"/>
  <c r="E364" i="4"/>
  <c r="E556" i="3"/>
  <c r="D364" i="4" s="1"/>
  <c r="E363" i="4"/>
  <c r="E554" i="3"/>
  <c r="D363" i="4" s="1"/>
  <c r="E362" i="4"/>
  <c r="E552" i="3"/>
  <c r="D362" i="4" s="1"/>
  <c r="E360" i="4"/>
  <c r="E549" i="3"/>
  <c r="D360" i="4" s="1"/>
  <c r="E547" i="3"/>
  <c r="E546" i="3"/>
  <c r="E545" i="3"/>
  <c r="E544" i="3"/>
  <c r="E543" i="3"/>
  <c r="E358" i="4"/>
  <c r="E541" i="3"/>
  <c r="D358" i="4" s="1"/>
  <c r="E357" i="4"/>
  <c r="E539" i="3"/>
  <c r="D357" i="4" s="1"/>
  <c r="E356" i="4"/>
  <c r="E537" i="3"/>
  <c r="D356" i="4" s="1"/>
  <c r="E535" i="3"/>
  <c r="E534" i="3"/>
  <c r="E533" i="3"/>
  <c r="E532" i="3"/>
  <c r="E531" i="3"/>
  <c r="E353" i="4"/>
  <c r="E528" i="3"/>
  <c r="D353" i="4" s="1"/>
  <c r="E352" i="4"/>
  <c r="E526" i="3"/>
  <c r="D352" i="4" s="1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7" i="3"/>
  <c r="E506" i="3"/>
  <c r="E348" i="4"/>
  <c r="E504" i="3"/>
  <c r="D348" i="4" s="1"/>
  <c r="E346" i="4"/>
  <c r="E501" i="3"/>
  <c r="D346" i="4" s="1"/>
  <c r="E345" i="4"/>
  <c r="E499" i="3"/>
  <c r="D345" i="4" s="1"/>
  <c r="E496" i="3"/>
  <c r="E495" i="3"/>
  <c r="E494" i="3"/>
  <c r="E493" i="3"/>
  <c r="E492" i="3"/>
  <c r="E342" i="4"/>
  <c r="E490" i="3"/>
  <c r="D342" i="4" s="1"/>
  <c r="E488" i="3"/>
  <c r="E487" i="3"/>
  <c r="E340" i="4"/>
  <c r="E485" i="3"/>
  <c r="D340" i="4" s="1"/>
  <c r="E339" i="4"/>
  <c r="E483" i="3"/>
  <c r="D339" i="4" s="1"/>
  <c r="E481" i="3"/>
  <c r="E480" i="3"/>
  <c r="E479" i="3"/>
  <c r="E337" i="4"/>
  <c r="E477" i="3"/>
  <c r="D337" i="4" s="1"/>
  <c r="E336" i="4"/>
  <c r="E475" i="3"/>
  <c r="D336" i="4" s="1"/>
  <c r="E335" i="4"/>
  <c r="E473" i="3"/>
  <c r="D335" i="4" s="1"/>
  <c r="E333" i="4"/>
  <c r="E470" i="3"/>
  <c r="D333" i="4" s="1"/>
  <c r="E332" i="4"/>
  <c r="E468" i="3"/>
  <c r="D332" i="4" s="1"/>
  <c r="E329" i="4"/>
  <c r="E58" i="1" s="1"/>
  <c r="E464" i="3"/>
  <c r="D329" i="4" s="1"/>
  <c r="E328" i="4"/>
  <c r="E462" i="3"/>
  <c r="D328" i="4" s="1"/>
  <c r="E327" i="4"/>
  <c r="E460" i="3"/>
  <c r="D327" i="4" s="1"/>
  <c r="E326" i="4"/>
  <c r="E458" i="3"/>
  <c r="D326" i="4" s="1"/>
  <c r="E456" i="3"/>
  <c r="E455" i="3"/>
  <c r="E454" i="3"/>
  <c r="E453" i="3"/>
  <c r="E324" i="4"/>
  <c r="E451" i="3"/>
  <c r="D324" i="4" s="1"/>
  <c r="E323" i="4"/>
  <c r="E449" i="3"/>
  <c r="D323" i="4" s="1"/>
  <c r="E322" i="4"/>
  <c r="E447" i="3"/>
  <c r="D322" i="4" s="1"/>
  <c r="E320" i="4"/>
  <c r="E444" i="3"/>
  <c r="D320" i="4" s="1"/>
  <c r="E319" i="4"/>
  <c r="E442" i="3"/>
  <c r="D319" i="4" s="1"/>
  <c r="E318" i="4"/>
  <c r="E440" i="3"/>
  <c r="D318" i="4" s="1"/>
  <c r="E437" i="3"/>
  <c r="E436" i="3"/>
  <c r="E435" i="3"/>
  <c r="E434" i="3"/>
  <c r="E433" i="3"/>
  <c r="E432" i="3"/>
  <c r="E431" i="3"/>
  <c r="E430" i="3"/>
  <c r="E429" i="3"/>
  <c r="E315" i="4"/>
  <c r="E427" i="3"/>
  <c r="D315" i="4" s="1"/>
  <c r="E425" i="3"/>
  <c r="E424" i="3"/>
  <c r="E423" i="3"/>
  <c r="E422" i="3"/>
  <c r="E421" i="3"/>
  <c r="E420" i="3"/>
  <c r="E418" i="3"/>
  <c r="E417" i="3"/>
  <c r="E416" i="3"/>
  <c r="E415" i="3"/>
  <c r="E413" i="3"/>
  <c r="E412" i="3"/>
  <c r="E411" i="3"/>
  <c r="E311" i="4"/>
  <c r="E409" i="3"/>
  <c r="D311" i="4" s="1"/>
  <c r="E309" i="4"/>
  <c r="E406" i="3"/>
  <c r="D309" i="4" s="1"/>
  <c r="E308" i="4"/>
  <c r="E404" i="3"/>
  <c r="D308" i="4" s="1"/>
  <c r="E306" i="4"/>
  <c r="E401" i="3"/>
  <c r="D306" i="4" s="1"/>
  <c r="E399" i="3"/>
  <c r="E398" i="3"/>
  <c r="E396" i="3"/>
  <c r="E395" i="3"/>
  <c r="E394" i="3"/>
  <c r="E393" i="3"/>
  <c r="E392" i="3"/>
  <c r="E391" i="3"/>
  <c r="E390" i="3"/>
  <c r="E389" i="3"/>
  <c r="E388" i="3"/>
  <c r="E387" i="3"/>
  <c r="E303" i="4"/>
  <c r="E385" i="3"/>
  <c r="D303" i="4" s="1"/>
  <c r="E302" i="4"/>
  <c r="E383" i="3"/>
  <c r="D302" i="4" s="1"/>
  <c r="E301" i="4"/>
  <c r="E381" i="3"/>
  <c r="D301" i="4" s="1"/>
  <c r="E300" i="4"/>
  <c r="E379" i="3"/>
  <c r="D300" i="4" s="1"/>
  <c r="E376" i="3"/>
  <c r="E375" i="3"/>
  <c r="E374" i="3"/>
  <c r="E373" i="3"/>
  <c r="E372" i="3"/>
  <c r="E371" i="3"/>
  <c r="E370" i="3"/>
  <c r="E369" i="3"/>
  <c r="E368" i="3"/>
  <c r="E366" i="3"/>
  <c r="E365" i="3"/>
  <c r="E364" i="3"/>
  <c r="E363" i="3"/>
  <c r="E362" i="3"/>
  <c r="E361" i="3"/>
  <c r="E360" i="3"/>
  <c r="E359" i="3"/>
  <c r="E358" i="3"/>
  <c r="E357" i="3"/>
  <c r="E356" i="3"/>
  <c r="E354" i="3"/>
  <c r="E353" i="3"/>
  <c r="E352" i="3"/>
  <c r="E351" i="3"/>
  <c r="E349" i="3"/>
  <c r="E348" i="3"/>
  <c r="E347" i="3"/>
  <c r="E346" i="3"/>
  <c r="E294" i="4"/>
  <c r="E344" i="3"/>
  <c r="D294" i="4" s="1"/>
  <c r="E293" i="4"/>
  <c r="E342" i="3"/>
  <c r="D293" i="4" s="1"/>
  <c r="E292" i="4"/>
  <c r="E340" i="3"/>
  <c r="D292" i="4" s="1"/>
  <c r="E337" i="3"/>
  <c r="E336" i="3"/>
  <c r="E334" i="3"/>
  <c r="E333" i="3"/>
  <c r="E332" i="3"/>
  <c r="E331" i="3"/>
  <c r="E330" i="3"/>
  <c r="E329" i="3"/>
  <c r="E328" i="3"/>
  <c r="E327" i="3"/>
  <c r="E325" i="3"/>
  <c r="E324" i="3"/>
  <c r="E323" i="3"/>
  <c r="E287" i="4"/>
  <c r="E321" i="3"/>
  <c r="D287" i="4" s="1"/>
  <c r="E319" i="3"/>
  <c r="E318" i="3"/>
  <c r="E317" i="3"/>
  <c r="E316" i="3"/>
  <c r="E285" i="4"/>
  <c r="E314" i="3"/>
  <c r="D285" i="4" s="1"/>
  <c r="E284" i="4"/>
  <c r="E312" i="3"/>
  <c r="D284" i="4" s="1"/>
  <c r="E308" i="3"/>
  <c r="E307" i="3"/>
  <c r="E306" i="3"/>
  <c r="E305" i="3"/>
  <c r="E280" i="4"/>
  <c r="E303" i="3"/>
  <c r="D280" i="4" s="1"/>
  <c r="E279" i="4"/>
  <c r="E301" i="3"/>
  <c r="D279" i="4" s="1"/>
  <c r="E278" i="4"/>
  <c r="E299" i="3"/>
  <c r="D278" i="4" s="1"/>
  <c r="E276" i="4"/>
  <c r="E296" i="3"/>
  <c r="D276" i="4" s="1"/>
  <c r="E275" i="4"/>
  <c r="E294" i="3"/>
  <c r="D275" i="4" s="1"/>
  <c r="E274" i="4"/>
  <c r="E292" i="3"/>
  <c r="D274" i="4" s="1"/>
  <c r="E273" i="4"/>
  <c r="E290" i="3"/>
  <c r="D273" i="4" s="1"/>
  <c r="E272" i="4"/>
  <c r="E288" i="3"/>
  <c r="D272" i="4" s="1"/>
  <c r="E270" i="4"/>
  <c r="E285" i="3"/>
  <c r="D270" i="4" s="1"/>
  <c r="E269" i="4"/>
  <c r="E283" i="3"/>
  <c r="D269" i="4" s="1"/>
  <c r="E268" i="4"/>
  <c r="E281" i="3"/>
  <c r="D268" i="4" s="1"/>
  <c r="E267" i="4"/>
  <c r="E279" i="3"/>
  <c r="D267" i="4" s="1"/>
  <c r="E266" i="4"/>
  <c r="E277" i="3"/>
  <c r="D266" i="4" s="1"/>
  <c r="E275" i="3"/>
  <c r="E274" i="3"/>
  <c r="E263" i="4"/>
  <c r="E271" i="3"/>
  <c r="D263" i="4" s="1"/>
  <c r="E262" i="4"/>
  <c r="E269" i="3"/>
  <c r="D262" i="4" s="1"/>
  <c r="E261" i="4"/>
  <c r="E267" i="3"/>
  <c r="D261" i="4" s="1"/>
  <c r="E260" i="4"/>
  <c r="E265" i="3"/>
  <c r="D260" i="4" s="1"/>
  <c r="E259" i="4"/>
  <c r="E263" i="3"/>
  <c r="D259" i="4" s="1"/>
  <c r="E257" i="4"/>
  <c r="E260" i="3"/>
  <c r="D257" i="4" s="1"/>
  <c r="E256" i="4"/>
  <c r="E258" i="3"/>
  <c r="D256" i="4" s="1"/>
  <c r="E255" i="4"/>
  <c r="E256" i="3"/>
  <c r="D255" i="4" s="1"/>
  <c r="E254" i="4"/>
  <c r="E254" i="3"/>
  <c r="D254" i="4" s="1"/>
  <c r="E253" i="4"/>
  <c r="E252" i="3"/>
  <c r="D253" i="4" s="1"/>
  <c r="E251" i="4"/>
  <c r="E249" i="3"/>
  <c r="D251" i="4" s="1"/>
  <c r="E250" i="4"/>
  <c r="E247" i="3"/>
  <c r="D250" i="4" s="1"/>
  <c r="E245" i="3"/>
  <c r="E244" i="3"/>
  <c r="E241" i="3"/>
  <c r="E240" i="3"/>
  <c r="E246" i="4"/>
  <c r="E238" i="3"/>
  <c r="D246" i="4" s="1"/>
  <c r="E245" i="4"/>
  <c r="E236" i="3"/>
  <c r="D245" i="4" s="1"/>
  <c r="E244" i="4"/>
  <c r="E234" i="3"/>
  <c r="D244" i="4" s="1"/>
  <c r="E231" i="3"/>
  <c r="E230" i="3"/>
  <c r="E229" i="3"/>
  <c r="E241" i="4"/>
  <c r="E227" i="3"/>
  <c r="D241" i="4" s="1"/>
  <c r="E240" i="4"/>
  <c r="E225" i="3"/>
  <c r="D240" i="4" s="1"/>
  <c r="E239" i="4"/>
  <c r="E223" i="3"/>
  <c r="D239" i="4" s="1"/>
  <c r="E220" i="3"/>
  <c r="E219" i="3"/>
  <c r="E217" i="3"/>
  <c r="E216" i="3"/>
  <c r="E235" i="4"/>
  <c r="E214" i="3"/>
  <c r="D235" i="4" s="1"/>
  <c r="E234" i="4"/>
  <c r="E212" i="3"/>
  <c r="D234" i="4" s="1"/>
  <c r="E233" i="4"/>
  <c r="E210" i="3"/>
  <c r="D233" i="4" s="1"/>
  <c r="E231" i="4"/>
  <c r="E207" i="3"/>
  <c r="D231" i="4" s="1"/>
  <c r="E230" i="4"/>
  <c r="E205" i="3"/>
  <c r="D230" i="4" s="1"/>
  <c r="E229" i="4"/>
  <c r="E203" i="3"/>
  <c r="D229" i="4" s="1"/>
  <c r="E228" i="4"/>
  <c r="E201" i="3"/>
  <c r="D228" i="4" s="1"/>
  <c r="E227" i="4"/>
  <c r="E199" i="3"/>
  <c r="D227" i="4" s="1"/>
  <c r="E226" i="4"/>
  <c r="E197" i="3"/>
  <c r="D226" i="4" s="1"/>
  <c r="E225" i="4"/>
  <c r="E195" i="3"/>
  <c r="D225" i="4" s="1"/>
  <c r="E224" i="4"/>
  <c r="E193" i="3"/>
  <c r="D224" i="4" s="1"/>
  <c r="E223" i="4"/>
  <c r="E191" i="3"/>
  <c r="D223" i="4" s="1"/>
  <c r="E222" i="4"/>
  <c r="E189" i="3"/>
  <c r="D222" i="4" s="1"/>
  <c r="E186" i="3"/>
  <c r="E185" i="3"/>
  <c r="E184" i="3"/>
  <c r="E183" i="3"/>
  <c r="E182" i="3"/>
  <c r="E181" i="3"/>
  <c r="E180" i="3"/>
  <c r="E219" i="4"/>
  <c r="E178" i="3"/>
  <c r="D219" i="4" s="1"/>
  <c r="E218" i="4"/>
  <c r="E176" i="3"/>
  <c r="D218" i="4" s="1"/>
  <c r="E217" i="4"/>
  <c r="E174" i="3"/>
  <c r="D217" i="4" s="1"/>
  <c r="E216" i="4"/>
  <c r="E172" i="3"/>
  <c r="D216" i="4" s="1"/>
  <c r="E215" i="4"/>
  <c r="E170" i="3"/>
  <c r="D215" i="4" s="1"/>
  <c r="E168" i="3"/>
  <c r="E167" i="3"/>
  <c r="E212" i="4"/>
  <c r="E164" i="3"/>
  <c r="D212" i="4" s="1"/>
  <c r="E211" i="4"/>
  <c r="E162" i="3"/>
  <c r="D211" i="4" s="1"/>
  <c r="E160" i="3"/>
  <c r="E159" i="3"/>
  <c r="E208" i="4"/>
  <c r="E156" i="3"/>
  <c r="D208" i="4" s="1"/>
  <c r="E207" i="4"/>
  <c r="E154" i="3"/>
  <c r="D207" i="4" s="1"/>
  <c r="E152" i="3"/>
  <c r="E151" i="3"/>
  <c r="E150" i="3"/>
  <c r="E149" i="3"/>
  <c r="E148" i="3"/>
  <c r="E147" i="3"/>
  <c r="E146" i="3"/>
  <c r="E145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8" i="3"/>
  <c r="E127" i="3"/>
  <c r="E126" i="3"/>
  <c r="E125" i="3"/>
  <c r="E124" i="3"/>
  <c r="E123" i="3"/>
  <c r="E122" i="3"/>
  <c r="E121" i="3"/>
  <c r="E120" i="3"/>
  <c r="E119" i="3"/>
  <c r="E118" i="3"/>
  <c r="E116" i="3"/>
  <c r="E115" i="3"/>
  <c r="E114" i="3"/>
  <c r="E113" i="3"/>
  <c r="E112" i="3"/>
  <c r="E111" i="3"/>
  <c r="E110" i="3"/>
  <c r="E109" i="3"/>
  <c r="E108" i="3"/>
  <c r="E107" i="3"/>
  <c r="E106" i="3"/>
  <c r="E100" i="3"/>
  <c r="E99" i="3"/>
  <c r="E98" i="3"/>
  <c r="E97" i="3"/>
  <c r="E96" i="3"/>
  <c r="E95" i="3"/>
  <c r="E93" i="3"/>
  <c r="E92" i="3"/>
  <c r="E90" i="3"/>
  <c r="E89" i="3"/>
  <c r="E88" i="3"/>
  <c r="E86" i="3"/>
  <c r="E85" i="3"/>
  <c r="E84" i="3"/>
  <c r="E83" i="3"/>
  <c r="E81" i="3"/>
  <c r="E80" i="3"/>
  <c r="E78" i="3"/>
  <c r="E77" i="3"/>
  <c r="E75" i="3"/>
  <c r="E74" i="3"/>
  <c r="E190" i="4"/>
  <c r="E71" i="3"/>
  <c r="E189" i="4"/>
  <c r="E69" i="3"/>
  <c r="E188" i="4"/>
  <c r="E67" i="3"/>
  <c r="E187" i="4"/>
  <c r="E65" i="3"/>
  <c r="E186" i="4"/>
  <c r="E63" i="3"/>
  <c r="E61" i="3"/>
  <c r="E60" i="3"/>
  <c r="E59" i="3"/>
  <c r="E57" i="3"/>
  <c r="E56" i="3"/>
  <c r="E55" i="3"/>
  <c r="E52" i="3"/>
  <c r="E51" i="3"/>
  <c r="E49" i="3"/>
  <c r="E48" i="3"/>
  <c r="E46" i="3"/>
  <c r="E45" i="3"/>
  <c r="E43" i="3"/>
  <c r="E42" i="3"/>
  <c r="E40" i="3"/>
  <c r="E39" i="3"/>
  <c r="E37" i="3"/>
  <c r="E36" i="3"/>
  <c r="E34" i="3"/>
  <c r="E33" i="3"/>
  <c r="E31" i="3"/>
  <c r="E30" i="3"/>
  <c r="E173" i="4"/>
  <c r="E27" i="3"/>
  <c r="E172" i="4"/>
  <c r="E25" i="3"/>
  <c r="E171" i="4"/>
  <c r="E23" i="3"/>
  <c r="E169" i="4"/>
  <c r="E20" i="3"/>
  <c r="E168" i="4"/>
  <c r="E18" i="3"/>
  <c r="E167" i="4"/>
  <c r="E16" i="3"/>
  <c r="E165" i="4"/>
  <c r="E13" i="3"/>
  <c r="E11" i="3"/>
  <c r="E10" i="3"/>
  <c r="E8" i="3"/>
  <c r="E7" i="3"/>
  <c r="E541" i="4"/>
  <c r="E388" i="2"/>
  <c r="D541" i="4" s="1"/>
  <c r="E540" i="4"/>
  <c r="E386" i="2"/>
  <c r="D540" i="4" s="1"/>
  <c r="E384" i="2"/>
  <c r="D539" i="4" s="1"/>
  <c r="E382" i="2"/>
  <c r="D538" i="4" s="1"/>
  <c r="E537" i="4"/>
  <c r="E380" i="2"/>
  <c r="D537" i="4" s="1"/>
  <c r="E536" i="4"/>
  <c r="E378" i="2"/>
  <c r="D536" i="4" s="1"/>
  <c r="E535" i="4"/>
  <c r="E376" i="2"/>
  <c r="D535" i="4" s="1"/>
  <c r="E374" i="2"/>
  <c r="D534" i="4" s="1"/>
  <c r="E532" i="4"/>
  <c r="E371" i="2"/>
  <c r="D532" i="4" s="1"/>
  <c r="E530" i="4"/>
  <c r="E368" i="2"/>
  <c r="D530" i="4" s="1"/>
  <c r="E529" i="4"/>
  <c r="E366" i="2"/>
  <c r="D529" i="4" s="1"/>
  <c r="E528" i="4"/>
  <c r="E364" i="2"/>
  <c r="D528" i="4" s="1"/>
  <c r="E527" i="4"/>
  <c r="E362" i="2"/>
  <c r="D527" i="4" s="1"/>
  <c r="E526" i="4"/>
  <c r="E360" i="2"/>
  <c r="D526" i="4" s="1"/>
  <c r="E525" i="4"/>
  <c r="E358" i="2"/>
  <c r="D525" i="4" s="1"/>
  <c r="E524" i="4"/>
  <c r="E356" i="2"/>
  <c r="D524" i="4" s="1"/>
  <c r="E522" i="4"/>
  <c r="E353" i="2"/>
  <c r="D522" i="4" s="1"/>
  <c r="E521" i="4"/>
  <c r="E351" i="2"/>
  <c r="D521" i="4" s="1"/>
  <c r="E348" i="2"/>
  <c r="D519" i="4" s="1"/>
  <c r="E517" i="4"/>
  <c r="E101" i="1" s="1"/>
  <c r="E345" i="2"/>
  <c r="D517" i="4" s="1"/>
  <c r="E512" i="4"/>
  <c r="E95" i="1" s="1"/>
  <c r="E341" i="2"/>
  <c r="D512" i="4" s="1"/>
  <c r="E502" i="4"/>
  <c r="E338" i="2"/>
  <c r="D502" i="4" s="1"/>
  <c r="E501" i="4"/>
  <c r="E336" i="2"/>
  <c r="D501" i="4" s="1"/>
  <c r="E500" i="4"/>
  <c r="E334" i="2"/>
  <c r="D500" i="4" s="1"/>
  <c r="E332" i="2"/>
  <c r="D499" i="4" s="1"/>
  <c r="E498" i="4"/>
  <c r="E330" i="2"/>
  <c r="D498" i="4" s="1"/>
  <c r="E327" i="2"/>
  <c r="E326" i="2"/>
  <c r="E325" i="2"/>
  <c r="E323" i="2"/>
  <c r="E322" i="2"/>
  <c r="E320" i="2"/>
  <c r="D494" i="4" s="1"/>
  <c r="E316" i="2"/>
  <c r="E315" i="2"/>
  <c r="E314" i="2"/>
  <c r="E312" i="2"/>
  <c r="E311" i="2"/>
  <c r="E310" i="2"/>
  <c r="E308" i="2"/>
  <c r="E307" i="2"/>
  <c r="E306" i="2"/>
  <c r="E153" i="4"/>
  <c r="E33" i="1" s="1"/>
  <c r="E303" i="2"/>
  <c r="D153" i="4" s="1"/>
  <c r="E301" i="2"/>
  <c r="D152" i="4" s="1"/>
  <c r="E299" i="2"/>
  <c r="D151" i="4" s="1"/>
  <c r="E150" i="4"/>
  <c r="E297" i="2"/>
  <c r="D150" i="4" s="1"/>
  <c r="E149" i="4"/>
  <c r="E295" i="2"/>
  <c r="D149" i="4" s="1"/>
  <c r="E293" i="2"/>
  <c r="E291" i="2"/>
  <c r="D147" i="4" s="1"/>
  <c r="E145" i="4"/>
  <c r="E288" i="2"/>
  <c r="D145" i="4" s="1"/>
  <c r="E144" i="4"/>
  <c r="E286" i="2"/>
  <c r="D144" i="4" s="1"/>
  <c r="E143" i="4"/>
  <c r="E284" i="2"/>
  <c r="D143" i="4" s="1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140" i="4"/>
  <c r="E267" i="2"/>
  <c r="D140" i="4" s="1"/>
  <c r="E139" i="4"/>
  <c r="E265" i="2"/>
  <c r="D139" i="4" s="1"/>
  <c r="E138" i="4"/>
  <c r="E263" i="2"/>
  <c r="D138" i="4" s="1"/>
  <c r="E137" i="4"/>
  <c r="E261" i="2"/>
  <c r="D137" i="4" s="1"/>
  <c r="E257" i="2"/>
  <c r="E256" i="2"/>
  <c r="E255" i="2"/>
  <c r="E254" i="2"/>
  <c r="E253" i="2"/>
  <c r="E252" i="2"/>
  <c r="E133" i="4"/>
  <c r="E250" i="2"/>
  <c r="D133" i="4" s="1"/>
  <c r="E132" i="4"/>
  <c r="E248" i="2"/>
  <c r="D132" i="4" s="1"/>
  <c r="E130" i="4"/>
  <c r="E245" i="2"/>
  <c r="D130" i="4" s="1"/>
  <c r="E243" i="2"/>
  <c r="E242" i="2"/>
  <c r="E241" i="2"/>
  <c r="E128" i="4"/>
  <c r="E239" i="2"/>
  <c r="D128" i="4" s="1"/>
  <c r="E127" i="4"/>
  <c r="E237" i="2"/>
  <c r="D127" i="4" s="1"/>
  <c r="E125" i="4"/>
  <c r="E234" i="2"/>
  <c r="D125" i="4" s="1"/>
  <c r="E124" i="4"/>
  <c r="E232" i="2"/>
  <c r="D124" i="4" s="1"/>
  <c r="E122" i="4"/>
  <c r="E229" i="2"/>
  <c r="D122" i="4" s="1"/>
  <c r="E120" i="4"/>
  <c r="E226" i="2"/>
  <c r="D120" i="4" s="1"/>
  <c r="E119" i="4"/>
  <c r="E224" i="2"/>
  <c r="D119" i="4" s="1"/>
  <c r="E118" i="4"/>
  <c r="E222" i="2"/>
  <c r="D118" i="4" s="1"/>
  <c r="E117" i="4"/>
  <c r="E220" i="2"/>
  <c r="D117" i="4" s="1"/>
  <c r="E116" i="4"/>
  <c r="E218" i="2"/>
  <c r="D116" i="4" s="1"/>
  <c r="E115" i="4"/>
  <c r="E216" i="2"/>
  <c r="D115" i="4" s="1"/>
  <c r="E114" i="4"/>
  <c r="E214" i="2"/>
  <c r="D114" i="4" s="1"/>
  <c r="E211" i="2"/>
  <c r="E210" i="2"/>
  <c r="E208" i="2"/>
  <c r="E207" i="2"/>
  <c r="E206" i="2"/>
  <c r="E205" i="2"/>
  <c r="E204" i="2"/>
  <c r="E203" i="2"/>
  <c r="E202" i="2"/>
  <c r="E201" i="2"/>
  <c r="E200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3" i="2"/>
  <c r="E182" i="2"/>
  <c r="E181" i="2"/>
  <c r="E180" i="2"/>
  <c r="E179" i="2"/>
  <c r="E178" i="2"/>
  <c r="E177" i="2"/>
  <c r="E111" i="4"/>
  <c r="E174" i="2"/>
  <c r="D111" i="4" s="1"/>
  <c r="E110" i="4"/>
  <c r="E172" i="2"/>
  <c r="D110" i="4" s="1"/>
  <c r="E109" i="4"/>
  <c r="E170" i="2"/>
  <c r="D109" i="4" s="1"/>
  <c r="E108" i="4"/>
  <c r="E168" i="2"/>
  <c r="D108" i="4" s="1"/>
  <c r="E107" i="4"/>
  <c r="E166" i="2"/>
  <c r="D107" i="4" s="1"/>
  <c r="E105" i="4"/>
  <c r="E163" i="2"/>
  <c r="D105" i="4" s="1"/>
  <c r="E161" i="2"/>
  <c r="D104" i="4" s="1"/>
  <c r="E103" i="4"/>
  <c r="E159" i="2"/>
  <c r="D103" i="4" s="1"/>
  <c r="E157" i="2"/>
  <c r="E156" i="2"/>
  <c r="E155" i="2"/>
  <c r="E154" i="2"/>
  <c r="E101" i="4"/>
  <c r="E152" i="2"/>
  <c r="D101" i="4" s="1"/>
  <c r="E99" i="4"/>
  <c r="E149" i="2"/>
  <c r="D99" i="4" s="1"/>
  <c r="E98" i="4"/>
  <c r="E147" i="2"/>
  <c r="D98" i="4" s="1"/>
  <c r="E97" i="4"/>
  <c r="E145" i="2"/>
  <c r="D97" i="4" s="1"/>
  <c r="E96" i="4"/>
  <c r="E143" i="2"/>
  <c r="D96" i="4" s="1"/>
  <c r="E95" i="4"/>
  <c r="E141" i="2"/>
  <c r="D95" i="4" s="1"/>
  <c r="E94" i="4"/>
  <c r="E139" i="2"/>
  <c r="D94" i="4" s="1"/>
  <c r="E93" i="4"/>
  <c r="E137" i="2"/>
  <c r="D93" i="4" s="1"/>
  <c r="E92" i="4"/>
  <c r="E135" i="2"/>
  <c r="D92" i="4" s="1"/>
  <c r="E91" i="4"/>
  <c r="E133" i="2"/>
  <c r="D91" i="4" s="1"/>
  <c r="E90" i="4"/>
  <c r="E131" i="2"/>
  <c r="D90" i="4" s="1"/>
  <c r="E89" i="4"/>
  <c r="E129" i="2"/>
  <c r="D89" i="4" s="1"/>
  <c r="E88" i="4"/>
  <c r="E127" i="2"/>
  <c r="D88" i="4" s="1"/>
  <c r="E87" i="4"/>
  <c r="E125" i="2"/>
  <c r="D87" i="4" s="1"/>
  <c r="E86" i="4"/>
  <c r="E123" i="2"/>
  <c r="D86" i="4" s="1"/>
  <c r="E84" i="4"/>
  <c r="E120" i="2"/>
  <c r="D84" i="4" s="1"/>
  <c r="E118" i="2"/>
  <c r="E117" i="2"/>
  <c r="E82" i="4"/>
  <c r="E115" i="2"/>
  <c r="D82" i="4" s="1"/>
  <c r="E81" i="4"/>
  <c r="E113" i="2"/>
  <c r="D81" i="4" s="1"/>
  <c r="E80" i="4"/>
  <c r="E111" i="2"/>
  <c r="D80" i="4" s="1"/>
  <c r="E79" i="4"/>
  <c r="E109" i="2"/>
  <c r="D79" i="4" s="1"/>
  <c r="E78" i="4"/>
  <c r="E107" i="2"/>
  <c r="D78" i="4" s="1"/>
  <c r="E77" i="4"/>
  <c r="E105" i="2"/>
  <c r="D77" i="4" s="1"/>
  <c r="E76" i="4"/>
  <c r="E103" i="2"/>
  <c r="D76" i="4" s="1"/>
  <c r="E75" i="4"/>
  <c r="E101" i="2"/>
  <c r="D75" i="4" s="1"/>
  <c r="E74" i="4"/>
  <c r="E99" i="2"/>
  <c r="D74" i="4" s="1"/>
  <c r="E73" i="4"/>
  <c r="E97" i="2"/>
  <c r="D73" i="4" s="1"/>
  <c r="E72" i="4"/>
  <c r="E95" i="2"/>
  <c r="D72" i="4" s="1"/>
  <c r="E71" i="4"/>
  <c r="E93" i="2"/>
  <c r="D71" i="4" s="1"/>
  <c r="E91" i="2"/>
  <c r="E90" i="2"/>
  <c r="E88" i="2"/>
  <c r="E87" i="2"/>
  <c r="E65" i="4"/>
  <c r="E82" i="2"/>
  <c r="D65" i="4" s="1"/>
  <c r="E64" i="4"/>
  <c r="E80" i="2"/>
  <c r="D64" i="4" s="1"/>
  <c r="E63" i="4"/>
  <c r="E78" i="2"/>
  <c r="D63" i="4" s="1"/>
  <c r="E62" i="4"/>
  <c r="E76" i="2"/>
  <c r="D62" i="4" s="1"/>
  <c r="E61" i="4"/>
  <c r="E74" i="2"/>
  <c r="C11" i="32" s="1"/>
  <c r="E59" i="4"/>
  <c r="E71" i="2"/>
  <c r="D59" i="4" s="1"/>
  <c r="E58" i="4"/>
  <c r="E69" i="2"/>
  <c r="E56" i="4"/>
  <c r="E23" i="1" s="1"/>
  <c r="E66" i="2"/>
  <c r="D56" i="4" s="1"/>
  <c r="E55" i="4"/>
  <c r="E22" i="1" s="1"/>
  <c r="E64" i="2"/>
  <c r="D55" i="4" s="1"/>
  <c r="E62" i="2"/>
  <c r="E61" i="2"/>
  <c r="E53" i="4"/>
  <c r="E20" i="1" s="1"/>
  <c r="E59" i="2"/>
  <c r="D53" i="4" s="1"/>
  <c r="E52" i="4"/>
  <c r="E19" i="1" s="1"/>
  <c r="E57" i="2"/>
  <c r="D52" i="4" s="1"/>
  <c r="E50" i="4"/>
  <c r="E54" i="2"/>
  <c r="D50" i="4" s="1"/>
  <c r="E49" i="4"/>
  <c r="E52" i="2"/>
  <c r="D49" i="4" s="1"/>
  <c r="E48" i="4"/>
  <c r="E50" i="2"/>
  <c r="D48" i="4" s="1"/>
  <c r="E48" i="2"/>
  <c r="E47" i="2"/>
  <c r="E46" i="2"/>
  <c r="E45" i="2"/>
  <c r="E44" i="2"/>
  <c r="E43" i="2"/>
  <c r="E46" i="4"/>
  <c r="E41" i="2"/>
  <c r="D46" i="4" s="1"/>
  <c r="E44" i="4"/>
  <c r="E38" i="2"/>
  <c r="D44" i="4" s="1"/>
  <c r="E43" i="4"/>
  <c r="E36" i="2"/>
  <c r="D43" i="4" s="1"/>
  <c r="E41" i="4"/>
  <c r="E15" i="1" s="1"/>
  <c r="E33" i="2"/>
  <c r="D41" i="4" s="1"/>
  <c r="E40" i="4"/>
  <c r="E14" i="1" s="1"/>
  <c r="E31" i="2"/>
  <c r="D40" i="4" s="1"/>
  <c r="E39" i="4"/>
  <c r="E13" i="1" s="1"/>
  <c r="E29" i="2"/>
  <c r="D39" i="4" s="1"/>
  <c r="E27" i="2"/>
  <c r="E26" i="2"/>
  <c r="E25" i="2"/>
  <c r="E24" i="2"/>
  <c r="E23" i="2"/>
  <c r="E22" i="2"/>
  <c r="E35" i="4"/>
  <c r="E18" i="2"/>
  <c r="D35" i="4" s="1"/>
  <c r="E34" i="4"/>
  <c r="E16" i="2"/>
  <c r="D34" i="4" s="1"/>
  <c r="E33" i="4"/>
  <c r="E14" i="2"/>
  <c r="D33" i="4" s="1"/>
  <c r="E12" i="2"/>
  <c r="D32" i="4" s="1"/>
  <c r="E30" i="4"/>
  <c r="E9" i="2"/>
  <c r="D30" i="4" s="1"/>
  <c r="E29" i="4"/>
  <c r="E7" i="2"/>
  <c r="D29" i="4" s="1"/>
  <c r="G389" i="2"/>
  <c r="F389" i="2"/>
  <c r="G1243" i="3"/>
  <c r="G390" i="2" s="1"/>
  <c r="F1243" i="3"/>
  <c r="E585" i="4"/>
  <c r="E117" i="1" s="1"/>
  <c r="E584" i="4"/>
  <c r="E581" i="4"/>
  <c r="E115" i="1" s="1"/>
  <c r="E578" i="4"/>
  <c r="E112" i="1" s="1"/>
  <c r="E566" i="4"/>
  <c r="E563" i="4"/>
  <c r="E554" i="4"/>
  <c r="E552" i="4"/>
  <c r="E543" i="4"/>
  <c r="E104" i="1" s="1"/>
  <c r="E539" i="4"/>
  <c r="E538" i="4"/>
  <c r="E534" i="4"/>
  <c r="E519" i="4"/>
  <c r="E499" i="4"/>
  <c r="E494" i="4"/>
  <c r="E479" i="4"/>
  <c r="E468" i="4"/>
  <c r="E460" i="4"/>
  <c r="E455" i="4"/>
  <c r="E152" i="4"/>
  <c r="E151" i="4"/>
  <c r="E148" i="4"/>
  <c r="E147" i="4"/>
  <c r="E104" i="4"/>
  <c r="C10" i="32" l="1"/>
  <c r="F8" i="32" s="1"/>
  <c r="C104" i="32"/>
  <c r="D148" i="4"/>
  <c r="D146" i="4" s="1"/>
  <c r="F390" i="2"/>
  <c r="F391" i="2" s="1"/>
  <c r="D167" i="4"/>
  <c r="D172" i="4"/>
  <c r="D187" i="4"/>
  <c r="D165" i="4"/>
  <c r="D168" i="4"/>
  <c r="D171" i="4"/>
  <c r="D173" i="4"/>
  <c r="D186" i="4"/>
  <c r="D188" i="4"/>
  <c r="D190" i="4"/>
  <c r="D169" i="4"/>
  <c r="D166" i="4" s="1"/>
  <c r="D189" i="4"/>
  <c r="C7" i="32"/>
  <c r="C22" i="32"/>
  <c r="C19" i="32"/>
  <c r="C20" i="32" s="1"/>
  <c r="C21" i="32" s="1"/>
  <c r="C13" i="32"/>
  <c r="C14" i="32" s="1"/>
  <c r="D585" i="4"/>
  <c r="D117" i="1" s="1"/>
  <c r="F117" i="1" s="1"/>
  <c r="C15" i="32"/>
  <c r="C16" i="32" s="1"/>
  <c r="C8" i="32"/>
  <c r="C6" i="32"/>
  <c r="D61" i="4"/>
  <c r="D60" i="4" s="1"/>
  <c r="D58" i="4"/>
  <c r="D57" i="4" s="1"/>
  <c r="D440" i="4"/>
  <c r="D439" i="4" s="1"/>
  <c r="D69" i="4"/>
  <c r="D417" i="4"/>
  <c r="E417" i="4"/>
  <c r="E156" i="4"/>
  <c r="D156" i="4"/>
  <c r="E70" i="4"/>
  <c r="E496" i="4"/>
  <c r="D54" i="4"/>
  <c r="D21" i="1" s="1"/>
  <c r="D155" i="4"/>
  <c r="D129" i="4"/>
  <c r="D126" i="4" s="1"/>
  <c r="D495" i="4"/>
  <c r="D22" i="1"/>
  <c r="F22" i="1" s="1"/>
  <c r="D104" i="1"/>
  <c r="F104" i="1" s="1"/>
  <c r="D13" i="1"/>
  <c r="F13" i="1" s="1"/>
  <c r="D96" i="1"/>
  <c r="F96" i="1" s="1"/>
  <c r="D115" i="1"/>
  <c r="F115" i="1" s="1"/>
  <c r="D20" i="1"/>
  <c r="F20" i="1" s="1"/>
  <c r="D14" i="1"/>
  <c r="F14" i="1" s="1"/>
  <c r="D95" i="1"/>
  <c r="F95" i="1" s="1"/>
  <c r="D58" i="1"/>
  <c r="F58" i="1" s="1"/>
  <c r="D23" i="1"/>
  <c r="F23" i="1" s="1"/>
  <c r="D113" i="1"/>
  <c r="F113" i="1" s="1"/>
  <c r="G113" i="1" s="1"/>
  <c r="D33" i="1"/>
  <c r="F33" i="1" s="1"/>
  <c r="D15" i="1"/>
  <c r="F15" i="1" s="1"/>
  <c r="D101" i="1"/>
  <c r="F101" i="1" s="1"/>
  <c r="D19" i="1"/>
  <c r="F19" i="1" s="1"/>
  <c r="D114" i="1"/>
  <c r="F114" i="1" s="1"/>
  <c r="D112" i="1"/>
  <c r="F112" i="1" s="1"/>
  <c r="G112" i="1" s="1"/>
  <c r="D70" i="4"/>
  <c r="E134" i="4"/>
  <c r="E131" i="4" s="1"/>
  <c r="D134" i="4"/>
  <c r="D131" i="4" s="1"/>
  <c r="D157" i="4"/>
  <c r="E305" i="4"/>
  <c r="E349" i="4"/>
  <c r="E193" i="4"/>
  <c r="D197" i="4"/>
  <c r="D506" i="4"/>
  <c r="E164" i="4"/>
  <c r="D193" i="4"/>
  <c r="E178" i="4"/>
  <c r="E182" i="4"/>
  <c r="E265" i="4"/>
  <c r="E264" i="4" s="1"/>
  <c r="E50" i="1" s="1"/>
  <c r="D412" i="4"/>
  <c r="D413" i="4"/>
  <c r="E412" i="4"/>
  <c r="E413" i="4"/>
  <c r="E163" i="4"/>
  <c r="D164" i="4"/>
  <c r="D179" i="4"/>
  <c r="D194" i="4"/>
  <c r="E341" i="4"/>
  <c r="D349" i="4"/>
  <c r="E175" i="4"/>
  <c r="D214" i="4"/>
  <c r="D265" i="4"/>
  <c r="E377" i="4"/>
  <c r="D383" i="4"/>
  <c r="D178" i="4"/>
  <c r="D182" i="4"/>
  <c r="D398" i="4"/>
  <c r="E398" i="4"/>
  <c r="E433" i="4"/>
  <c r="D163" i="4"/>
  <c r="E176" i="4"/>
  <c r="D177" i="4"/>
  <c r="D192" i="4"/>
  <c r="D249" i="4"/>
  <c r="D341" i="4"/>
  <c r="D374" i="4"/>
  <c r="D247" i="4"/>
  <c r="E181" i="4"/>
  <c r="E195" i="4"/>
  <c r="D290" i="4"/>
  <c r="E286" i="4"/>
  <c r="E214" i="4"/>
  <c r="D295" i="4"/>
  <c r="D470" i="4"/>
  <c r="E470" i="4"/>
  <c r="E464" i="4" s="1"/>
  <c r="E81" i="1" s="1"/>
  <c r="D478" i="4"/>
  <c r="E177" i="4"/>
  <c r="E192" i="4"/>
  <c r="E242" i="4"/>
  <c r="E238" i="4" s="1"/>
  <c r="E46" i="1" s="1"/>
  <c r="E472" i="4"/>
  <c r="E82" i="1" s="1"/>
  <c r="E325" i="4"/>
  <c r="E321" i="4" s="1"/>
  <c r="E57" i="1" s="1"/>
  <c r="E445" i="4"/>
  <c r="D433" i="4"/>
  <c r="D442" i="4"/>
  <c r="D175" i="4"/>
  <c r="D176" i="4"/>
  <c r="D184" i="4"/>
  <c r="E295" i="4"/>
  <c r="E374" i="4"/>
  <c r="D382" i="4"/>
  <c r="D432" i="4"/>
  <c r="E422" i="4"/>
  <c r="E184" i="4"/>
  <c r="D196" i="4"/>
  <c r="E210" i="4"/>
  <c r="E209" i="4" s="1"/>
  <c r="E43" i="1" s="1"/>
  <c r="D236" i="4"/>
  <c r="D237" i="4"/>
  <c r="E370" i="4"/>
  <c r="E380" i="4"/>
  <c r="E378" i="4" s="1"/>
  <c r="E382" i="4"/>
  <c r="E383" i="4"/>
  <c r="D444" i="4"/>
  <c r="E196" i="4"/>
  <c r="E197" i="4"/>
  <c r="E236" i="4"/>
  <c r="E237" i="4"/>
  <c r="D325" i="4"/>
  <c r="D421" i="4"/>
  <c r="D180" i="4"/>
  <c r="D181" i="4"/>
  <c r="D195" i="4"/>
  <c r="D380" i="4"/>
  <c r="E179" i="4"/>
  <c r="E180" i="4"/>
  <c r="E194" i="4"/>
  <c r="E290" i="4"/>
  <c r="E338" i="4"/>
  <c r="E355" i="4"/>
  <c r="D185" i="4"/>
  <c r="D210" i="4"/>
  <c r="D242" i="4"/>
  <c r="D281" i="4"/>
  <c r="E313" i="4"/>
  <c r="D338" i="4"/>
  <c r="D370" i="4"/>
  <c r="E185" i="4"/>
  <c r="E249" i="4"/>
  <c r="D288" i="4"/>
  <c r="E296" i="4"/>
  <c r="D305" i="4"/>
  <c r="D312" i="4"/>
  <c r="D313" i="4"/>
  <c r="D377" i="4"/>
  <c r="E247" i="4"/>
  <c r="E243" i="4" s="1"/>
  <c r="E47" i="1" s="1"/>
  <c r="E288" i="4"/>
  <c r="D296" i="4"/>
  <c r="E312" i="4"/>
  <c r="E359" i="4"/>
  <c r="D408" i="4"/>
  <c r="D206" i="4"/>
  <c r="E343" i="4"/>
  <c r="D359" i="4"/>
  <c r="E281" i="4"/>
  <c r="E277" i="4" s="1"/>
  <c r="E52" i="1" s="1"/>
  <c r="E289" i="4"/>
  <c r="E297" i="4"/>
  <c r="D205" i="4"/>
  <c r="D198" i="4"/>
  <c r="D289" i="4"/>
  <c r="E198" i="4"/>
  <c r="E204" i="4"/>
  <c r="D203" i="4"/>
  <c r="D220" i="4"/>
  <c r="D204" i="4"/>
  <c r="E206" i="4"/>
  <c r="E111" i="1"/>
  <c r="E203" i="4"/>
  <c r="E205" i="4"/>
  <c r="E220" i="4"/>
  <c r="D286" i="4"/>
  <c r="D297" i="4"/>
  <c r="E298" i="4"/>
  <c r="D298" i="4"/>
  <c r="E304" i="4"/>
  <c r="D304" i="4"/>
  <c r="E314" i="4"/>
  <c r="D314" i="4"/>
  <c r="D316" i="4"/>
  <c r="E316" i="4"/>
  <c r="D343" i="4"/>
  <c r="D350" i="4"/>
  <c r="E350" i="4"/>
  <c r="D355" i="4"/>
  <c r="E390" i="4"/>
  <c r="D390" i="4"/>
  <c r="E391" i="4"/>
  <c r="D391" i="4"/>
  <c r="D394" i="4"/>
  <c r="E394" i="4"/>
  <c r="D395" i="4"/>
  <c r="E395" i="4"/>
  <c r="E399" i="4"/>
  <c r="D399" i="4"/>
  <c r="D403" i="4"/>
  <c r="E403" i="4"/>
  <c r="E404" i="4"/>
  <c r="D404" i="4"/>
  <c r="E407" i="4"/>
  <c r="D407" i="4"/>
  <c r="E408" i="4"/>
  <c r="E416" i="4"/>
  <c r="D416" i="4"/>
  <c r="E421" i="4"/>
  <c r="D422" i="4"/>
  <c r="E425" i="4"/>
  <c r="D425" i="4"/>
  <c r="E426" i="4"/>
  <c r="D426" i="4"/>
  <c r="E429" i="4"/>
  <c r="D429" i="4"/>
  <c r="E432" i="4"/>
  <c r="E437" i="4"/>
  <c r="E73" i="1" s="1"/>
  <c r="D437" i="4"/>
  <c r="E442" i="4"/>
  <c r="E75" i="1" s="1"/>
  <c r="E444" i="4"/>
  <c r="D445" i="4"/>
  <c r="D472" i="4"/>
  <c r="E478" i="4"/>
  <c r="E473" i="4" s="1"/>
  <c r="E506" i="4"/>
  <c r="E503" i="4" s="1"/>
  <c r="E97" i="1"/>
  <c r="E1243" i="3"/>
  <c r="E390" i="2" s="1"/>
  <c r="G391" i="2"/>
  <c r="E112" i="4"/>
  <c r="E102" i="4"/>
  <c r="E100" i="4" s="1"/>
  <c r="E85" i="4" s="1"/>
  <c r="D83" i="4"/>
  <c r="E69" i="4"/>
  <c r="E32" i="4"/>
  <c r="E31" i="4" s="1"/>
  <c r="E28" i="4" s="1"/>
  <c r="E27" i="4" s="1"/>
  <c r="E10" i="1" s="1"/>
  <c r="E155" i="4"/>
  <c r="D141" i="4"/>
  <c r="E141" i="4"/>
  <c r="E157" i="4"/>
  <c r="E54" i="4"/>
  <c r="E21" i="1" s="1"/>
  <c r="E18" i="1" s="1"/>
  <c r="D496" i="4"/>
  <c r="D47" i="4"/>
  <c r="E83" i="4"/>
  <c r="E129" i="4"/>
  <c r="E126" i="4" s="1"/>
  <c r="E495" i="4"/>
  <c r="E38" i="4"/>
  <c r="E12" i="1" s="1"/>
  <c r="D102" i="4"/>
  <c r="E389" i="2"/>
  <c r="D38" i="4"/>
  <c r="E47" i="4"/>
  <c r="E45" i="4" s="1"/>
  <c r="E17" i="1" s="1"/>
  <c r="D112" i="4"/>
  <c r="E439" i="4"/>
  <c r="E74" i="1" s="1"/>
  <c r="E514" i="4"/>
  <c r="D142" i="4"/>
  <c r="E582" i="4"/>
  <c r="E116" i="1" s="1"/>
  <c r="E523" i="4"/>
  <c r="E520" i="4" s="1"/>
  <c r="D514" i="4"/>
  <c r="D42" i="4"/>
  <c r="E136" i="4"/>
  <c r="E344" i="4"/>
  <c r="E497" i="4"/>
  <c r="E553" i="4"/>
  <c r="E551" i="4" s="1"/>
  <c r="D507" i="4"/>
  <c r="D456" i="4"/>
  <c r="D497" i="4"/>
  <c r="E548" i="4"/>
  <c r="E456" i="4"/>
  <c r="E79" i="1" s="1"/>
  <c r="D136" i="4"/>
  <c r="D365" i="4"/>
  <c r="E507" i="4"/>
  <c r="E577" i="4"/>
  <c r="D344" i="4"/>
  <c r="D480" i="4"/>
  <c r="D548" i="4"/>
  <c r="E42" i="4"/>
  <c r="E16" i="1" s="1"/>
  <c r="E480" i="4"/>
  <c r="E84" i="1" s="1"/>
  <c r="D271" i="4"/>
  <c r="D317" i="4"/>
  <c r="E258" i="4"/>
  <c r="E49" i="1" s="1"/>
  <c r="E271" i="4"/>
  <c r="E51" i="1" s="1"/>
  <c r="D113" i="4"/>
  <c r="D361" i="4"/>
  <c r="D523" i="4"/>
  <c r="D533" i="4"/>
  <c r="D565" i="4"/>
  <c r="E57" i="4"/>
  <c r="E24" i="1" s="1"/>
  <c r="E113" i="4"/>
  <c r="E28" i="1" s="1"/>
  <c r="E123" i="4"/>
  <c r="E142" i="4"/>
  <c r="E31" i="1" s="1"/>
  <c r="E166" i="4"/>
  <c r="E317" i="4"/>
  <c r="D252" i="4"/>
  <c r="D553" i="4"/>
  <c r="E447" i="4"/>
  <c r="D123" i="4"/>
  <c r="E60" i="4"/>
  <c r="E25" i="1" s="1"/>
  <c r="E283" i="4"/>
  <c r="D283" i="4"/>
  <c r="D577" i="4"/>
  <c r="E252" i="4"/>
  <c r="D447" i="4"/>
  <c r="E170" i="4"/>
  <c r="E361" i="4"/>
  <c r="D31" i="4"/>
  <c r="D106" i="4"/>
  <c r="D334" i="4"/>
  <c r="D582" i="4"/>
  <c r="E106" i="4"/>
  <c r="E146" i="4"/>
  <c r="E32" i="1" s="1"/>
  <c r="E221" i="4"/>
  <c r="E334" i="4"/>
  <c r="E365" i="4"/>
  <c r="E62" i="1" s="1"/>
  <c r="E533" i="4"/>
  <c r="E531" i="4" s="1"/>
  <c r="E565" i="4"/>
  <c r="E562" i="4" s="1"/>
  <c r="D221" i="4"/>
  <c r="D258" i="4"/>
  <c r="D170" i="4" l="1"/>
  <c r="F7" i="32"/>
  <c r="F9" i="32" s="1"/>
  <c r="F10" i="32" s="1"/>
  <c r="C23" i="32"/>
  <c r="C24" i="32" s="1"/>
  <c r="C12" i="32"/>
  <c r="C17" i="32"/>
  <c r="C9" i="32"/>
  <c r="D51" i="4"/>
  <c r="D154" i="4"/>
  <c r="D34" i="1" s="1"/>
  <c r="E493" i="4"/>
  <c r="E90" i="1" s="1"/>
  <c r="F21" i="1"/>
  <c r="D18" i="1"/>
  <c r="F18" i="1" s="1"/>
  <c r="D97" i="1"/>
  <c r="D100" i="4"/>
  <c r="D111" i="1"/>
  <c r="F111" i="1" s="1"/>
  <c r="G111" i="1" s="1"/>
  <c r="D78" i="1"/>
  <c r="D493" i="4"/>
  <c r="D49" i="1"/>
  <c r="F49" i="1" s="1"/>
  <c r="D28" i="1"/>
  <c r="F28" i="1" s="1"/>
  <c r="D31" i="1"/>
  <c r="F31" i="1" s="1"/>
  <c r="D24" i="1"/>
  <c r="F24" i="1" s="1"/>
  <c r="D73" i="1"/>
  <c r="F73" i="1" s="1"/>
  <c r="G73" i="1" s="1"/>
  <c r="D75" i="1"/>
  <c r="F75" i="1" s="1"/>
  <c r="G75" i="1" s="1"/>
  <c r="D473" i="4"/>
  <c r="D264" i="4"/>
  <c r="D79" i="1"/>
  <c r="F79" i="1" s="1"/>
  <c r="G79" i="1" s="1"/>
  <c r="D531" i="4"/>
  <c r="D25" i="1"/>
  <c r="F25" i="1" s="1"/>
  <c r="G25" i="1" s="1"/>
  <c r="D520" i="4"/>
  <c r="D28" i="4"/>
  <c r="D12" i="1"/>
  <c r="F12" i="1" s="1"/>
  <c r="G12" i="1" s="1"/>
  <c r="D116" i="1"/>
  <c r="F116" i="1" s="1"/>
  <c r="G116" i="1" s="1"/>
  <c r="D84" i="1"/>
  <c r="F84" i="1" s="1"/>
  <c r="G84" i="1" s="1"/>
  <c r="D321" i="4"/>
  <c r="D243" i="4"/>
  <c r="D277" i="4"/>
  <c r="D464" i="4"/>
  <c r="D503" i="4"/>
  <c r="D16" i="1"/>
  <c r="F16" i="1" s="1"/>
  <c r="D238" i="4"/>
  <c r="D562" i="4"/>
  <c r="D51" i="1"/>
  <c r="F51" i="1" s="1"/>
  <c r="D82" i="1"/>
  <c r="F82" i="1" s="1"/>
  <c r="D209" i="4"/>
  <c r="D378" i="4"/>
  <c r="D551" i="4"/>
  <c r="D248" i="4"/>
  <c r="D62" i="1"/>
  <c r="F62" i="1" s="1"/>
  <c r="G62" i="1" s="1"/>
  <c r="D74" i="1"/>
  <c r="F74" i="1" s="1"/>
  <c r="D32" i="1"/>
  <c r="F32" i="1" s="1"/>
  <c r="G32" i="1" s="1"/>
  <c r="D45" i="4"/>
  <c r="D68" i="4"/>
  <c r="E299" i="4"/>
  <c r="E55" i="1" s="1"/>
  <c r="E135" i="4"/>
  <c r="E121" i="4" s="1"/>
  <c r="E30" i="1" s="1"/>
  <c r="E347" i="4"/>
  <c r="E331" i="4" s="1"/>
  <c r="E60" i="1" s="1"/>
  <c r="E68" i="4"/>
  <c r="E67" i="4" s="1"/>
  <c r="E162" i="4"/>
  <c r="E37" i="4"/>
  <c r="E36" i="4" s="1"/>
  <c r="D174" i="4"/>
  <c r="E443" i="4"/>
  <c r="E76" i="1" s="1"/>
  <c r="D381" i="4"/>
  <c r="E174" i="4"/>
  <c r="D347" i="4"/>
  <c r="D282" i="4"/>
  <c r="E431" i="4"/>
  <c r="E428" i="4" s="1"/>
  <c r="E71" i="1" s="1"/>
  <c r="D368" i="4"/>
  <c r="D162" i="4"/>
  <c r="D299" i="4"/>
  <c r="D420" i="4"/>
  <c r="E381" i="4"/>
  <c r="E376" i="4" s="1"/>
  <c r="E64" i="1" s="1"/>
  <c r="E191" i="4"/>
  <c r="E40" i="1" s="1"/>
  <c r="E424" i="4"/>
  <c r="D406" i="4"/>
  <c r="D411" i="4"/>
  <c r="E397" i="4"/>
  <c r="E68" i="1" s="1"/>
  <c r="D213" i="4"/>
  <c r="D232" i="4"/>
  <c r="E415" i="4"/>
  <c r="D354" i="4"/>
  <c r="D402" i="4"/>
  <c r="D393" i="4"/>
  <c r="D191" i="4"/>
  <c r="E354" i="4"/>
  <c r="E351" i="4" s="1"/>
  <c r="D443" i="4"/>
  <c r="D291" i="4"/>
  <c r="E420" i="4"/>
  <c r="E406" i="4"/>
  <c r="E310" i="4"/>
  <c r="E307" i="4" s="1"/>
  <c r="E56" i="1" s="1"/>
  <c r="E368" i="4"/>
  <c r="E63" i="1" s="1"/>
  <c r="E213" i="4"/>
  <c r="E44" i="1" s="1"/>
  <c r="E183" i="4"/>
  <c r="D183" i="4"/>
  <c r="D431" i="4"/>
  <c r="E282" i="4"/>
  <c r="E53" i="1" s="1"/>
  <c r="E232" i="4"/>
  <c r="E45" i="1" s="1"/>
  <c r="E393" i="4"/>
  <c r="E67" i="1" s="1"/>
  <c r="D310" i="4"/>
  <c r="E291" i="4"/>
  <c r="E54" i="1" s="1"/>
  <c r="E402" i="4"/>
  <c r="D389" i="4"/>
  <c r="E118" i="1"/>
  <c r="D415" i="4"/>
  <c r="E411" i="4"/>
  <c r="E248" i="4"/>
  <c r="E48" i="1" s="1"/>
  <c r="E202" i="4"/>
  <c r="E201" i="4" s="1"/>
  <c r="E42" i="1" s="1"/>
  <c r="E389" i="4"/>
  <c r="E66" i="1" s="1"/>
  <c r="D202" i="4"/>
  <c r="E72" i="1"/>
  <c r="D397" i="4"/>
  <c r="E438" i="4"/>
  <c r="E436" i="4" s="1"/>
  <c r="E83" i="1"/>
  <c r="E80" i="1" s="1"/>
  <c r="E463" i="4"/>
  <c r="D438" i="4"/>
  <c r="E391" i="2"/>
  <c r="F47" i="31" s="1"/>
  <c r="D424" i="4"/>
  <c r="E91" i="1"/>
  <c r="E446" i="4"/>
  <c r="E78" i="1"/>
  <c r="E29" i="1"/>
  <c r="E11" i="1"/>
  <c r="E9" i="1" s="1"/>
  <c r="D37" i="4"/>
  <c r="D135" i="4"/>
  <c r="E154" i="4"/>
  <c r="E34" i="1" s="1"/>
  <c r="E51" i="4"/>
  <c r="D29" i="1"/>
  <c r="E547" i="4"/>
  <c r="E544" i="4" s="1"/>
  <c r="E105" i="1" s="1"/>
  <c r="E586" i="4"/>
  <c r="D446" i="4"/>
  <c r="E518" i="4"/>
  <c r="D586" i="4"/>
  <c r="F97" i="1" l="1"/>
  <c r="E510" i="4"/>
  <c r="F34" i="1"/>
  <c r="G34" i="1" s="1"/>
  <c r="E77" i="1"/>
  <c r="F78" i="1"/>
  <c r="G78" i="1" s="1"/>
  <c r="F29" i="1"/>
  <c r="G29" i="1" s="1"/>
  <c r="D118" i="1"/>
  <c r="D85" i="4"/>
  <c r="D463" i="4"/>
  <c r="D91" i="1"/>
  <c r="F91" i="1" s="1"/>
  <c r="D547" i="4"/>
  <c r="D77" i="1"/>
  <c r="D72" i="1"/>
  <c r="F72" i="1" s="1"/>
  <c r="G72" i="1" s="1"/>
  <c r="D45" i="1"/>
  <c r="F45" i="1" s="1"/>
  <c r="D57" i="1"/>
  <c r="F57" i="1" s="1"/>
  <c r="G57" i="1" s="1"/>
  <c r="D50" i="1"/>
  <c r="F50" i="1" s="1"/>
  <c r="D518" i="4"/>
  <c r="D66" i="1"/>
  <c r="F66" i="1" s="1"/>
  <c r="G66" i="1" s="1"/>
  <c r="D44" i="1"/>
  <c r="F44" i="1" s="1"/>
  <c r="G44" i="1" s="1"/>
  <c r="D17" i="1"/>
  <c r="D436" i="4"/>
  <c r="D27" i="4"/>
  <c r="D83" i="1"/>
  <c r="F83" i="1" s="1"/>
  <c r="G83" i="1" s="1"/>
  <c r="D428" i="4"/>
  <c r="D54" i="1"/>
  <c r="F54" i="1" s="1"/>
  <c r="G54" i="1" s="1"/>
  <c r="D376" i="4"/>
  <c r="D52" i="1"/>
  <c r="F52" i="1" s="1"/>
  <c r="D201" i="4"/>
  <c r="D76" i="1"/>
  <c r="F76" i="1" s="1"/>
  <c r="D55" i="1"/>
  <c r="F55" i="1" s="1"/>
  <c r="G55" i="1" s="1"/>
  <c r="D40" i="1"/>
  <c r="F40" i="1" s="1"/>
  <c r="G40" i="1" s="1"/>
  <c r="D63" i="1"/>
  <c r="F63" i="1" s="1"/>
  <c r="G63" i="1" s="1"/>
  <c r="D48" i="1"/>
  <c r="F48" i="1" s="1"/>
  <c r="D47" i="1"/>
  <c r="F47" i="1" s="1"/>
  <c r="D90" i="1"/>
  <c r="F90" i="1" s="1"/>
  <c r="D36" i="4"/>
  <c r="D351" i="4"/>
  <c r="D331" i="4"/>
  <c r="D46" i="1"/>
  <c r="F46" i="1" s="1"/>
  <c r="D81" i="1"/>
  <c r="F81" i="1" s="1"/>
  <c r="G81" i="1" s="1"/>
  <c r="D307" i="4"/>
  <c r="D67" i="1"/>
  <c r="F67" i="1" s="1"/>
  <c r="G67" i="1" s="1"/>
  <c r="D121" i="4"/>
  <c r="D53" i="1"/>
  <c r="F53" i="1" s="1"/>
  <c r="D43" i="1"/>
  <c r="F43" i="1" s="1"/>
  <c r="D510" i="4"/>
  <c r="D68" i="1"/>
  <c r="F68" i="1" s="1"/>
  <c r="G68" i="1" s="1"/>
  <c r="E26" i="4"/>
  <c r="E161" i="4"/>
  <c r="E160" i="4" s="1"/>
  <c r="D161" i="4"/>
  <c r="D69" i="1"/>
  <c r="E410" i="4"/>
  <c r="D419" i="4"/>
  <c r="E419" i="4"/>
  <c r="D410" i="4"/>
  <c r="D401" i="4"/>
  <c r="E70" i="1"/>
  <c r="E69" i="1"/>
  <c r="D388" i="4"/>
  <c r="E401" i="4"/>
  <c r="D70" i="1"/>
  <c r="E388" i="4"/>
  <c r="E387" i="4" s="1"/>
  <c r="E200" i="4"/>
  <c r="E41" i="1"/>
  <c r="E542" i="4"/>
  <c r="E92" i="1"/>
  <c r="E330" i="4"/>
  <c r="E61" i="1"/>
  <c r="E516" i="4"/>
  <c r="E102" i="1"/>
  <c r="E100" i="1" s="1"/>
  <c r="E66" i="4"/>
  <c r="E27" i="1"/>
  <c r="E26" i="1" s="1"/>
  <c r="E35" i="1" s="1"/>
  <c r="F118" i="1" l="1"/>
  <c r="G118" i="1" s="1"/>
  <c r="F77" i="1"/>
  <c r="G77" i="1" s="1"/>
  <c r="F69" i="1"/>
  <c r="G69" i="1" s="1"/>
  <c r="F70" i="1"/>
  <c r="G70" i="1" s="1"/>
  <c r="E103" i="1"/>
  <c r="E106" i="1" s="1"/>
  <c r="E59" i="1"/>
  <c r="D11" i="1"/>
  <c r="F11" i="1" s="1"/>
  <c r="G11" i="1" s="1"/>
  <c r="F17" i="1"/>
  <c r="G17" i="1" s="1"/>
  <c r="E158" i="4"/>
  <c r="D67" i="4"/>
  <c r="D544" i="4"/>
  <c r="D105" i="1" s="1"/>
  <c r="D92" i="1"/>
  <c r="F92" i="1" s="1"/>
  <c r="D516" i="4"/>
  <c r="D56" i="1"/>
  <c r="F56" i="1" s="1"/>
  <c r="G56" i="1" s="1"/>
  <c r="D42" i="1"/>
  <c r="F42" i="1" s="1"/>
  <c r="D60" i="1"/>
  <c r="F60" i="1" s="1"/>
  <c r="G60" i="1" s="1"/>
  <c r="D387" i="4"/>
  <c r="D71" i="1"/>
  <c r="F71" i="1" s="1"/>
  <c r="G71" i="1" s="1"/>
  <c r="D10" i="1"/>
  <c r="D330" i="4"/>
  <c r="D39" i="1"/>
  <c r="D61" i="1"/>
  <c r="F61" i="1" s="1"/>
  <c r="G61" i="1" s="1"/>
  <c r="D200" i="4"/>
  <c r="D80" i="1"/>
  <c r="F80" i="1" s="1"/>
  <c r="G80" i="1" s="1"/>
  <c r="D26" i="4"/>
  <c r="D64" i="1"/>
  <c r="F64" i="1" s="1"/>
  <c r="G64" i="1" s="1"/>
  <c r="D30" i="1"/>
  <c r="F30" i="1" s="1"/>
  <c r="G30" i="1" s="1"/>
  <c r="E39" i="1"/>
  <c r="E38" i="1" s="1"/>
  <c r="D160" i="4"/>
  <c r="E65" i="1"/>
  <c r="D65" i="1"/>
  <c r="E386" i="4"/>
  <c r="E199" i="4"/>
  <c r="E574" i="4"/>
  <c r="F65" i="1" l="1"/>
  <c r="G65" i="1" s="1"/>
  <c r="D38" i="1"/>
  <c r="F38" i="1" s="1"/>
  <c r="G38" i="1" s="1"/>
  <c r="F39" i="1"/>
  <c r="G39" i="1" s="1"/>
  <c r="D9" i="1"/>
  <c r="F9" i="1" s="1"/>
  <c r="G9" i="1" s="1"/>
  <c r="F10" i="1"/>
  <c r="G10" i="1" s="1"/>
  <c r="D100" i="1"/>
  <c r="F100" i="1" s="1"/>
  <c r="G100" i="1" s="1"/>
  <c r="F102" i="1"/>
  <c r="G102" i="1" s="1"/>
  <c r="D542" i="4"/>
  <c r="D27" i="1"/>
  <c r="D66" i="4"/>
  <c r="D41" i="1"/>
  <c r="F41" i="1" s="1"/>
  <c r="G41" i="1" s="1"/>
  <c r="D59" i="1"/>
  <c r="F59" i="1" s="1"/>
  <c r="G59" i="1" s="1"/>
  <c r="D199" i="4"/>
  <c r="D386" i="4"/>
  <c r="E85" i="1"/>
  <c r="E491" i="4"/>
  <c r="E575" i="4" s="1"/>
  <c r="E587" i="4" s="1"/>
  <c r="E87" i="1" l="1"/>
  <c r="E108" i="1" s="1"/>
  <c r="E120" i="1" s="1"/>
  <c r="J122" i="28" s="1"/>
  <c r="J123" i="28" s="1"/>
  <c r="D103" i="1"/>
  <c r="F105" i="1"/>
  <c r="G105" i="1" s="1"/>
  <c r="D26" i="1"/>
  <c r="F27" i="1"/>
  <c r="G27" i="1" s="1"/>
  <c r="D574" i="4"/>
  <c r="D158" i="4"/>
  <c r="D85" i="1"/>
  <c r="D491" i="4"/>
  <c r="J161" i="28" l="1"/>
  <c r="F85" i="1"/>
  <c r="G85" i="1" s="1"/>
  <c r="D106" i="1"/>
  <c r="F103" i="1"/>
  <c r="G103" i="1" s="1"/>
  <c r="D35" i="1"/>
  <c r="F26" i="1"/>
  <c r="G26" i="1" s="1"/>
  <c r="D575" i="4"/>
  <c r="F35" i="1" l="1"/>
  <c r="G35" i="1" s="1"/>
  <c r="F106" i="1"/>
  <c r="G106" i="1" s="1"/>
  <c r="D87" i="1"/>
  <c r="D108" i="1" s="1"/>
  <c r="D587" i="4"/>
  <c r="F300" i="31" s="1"/>
  <c r="F317" i="31" s="1"/>
  <c r="D237" i="29" l="1"/>
  <c r="F450" i="30"/>
  <c r="F108" i="1"/>
  <c r="G108" i="1" s="1"/>
  <c r="D120" i="1"/>
  <c r="F120" i="1" l="1"/>
  <c r="G120" i="1" s="1"/>
  <c r="I122" i="28"/>
  <c r="D214" i="29"/>
  <c r="D340" i="29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C4" i="32" l="1"/>
  <c r="C25" i="32" s="1"/>
  <c r="C56" i="32" s="1"/>
  <c r="K122" i="28"/>
  <c r="L122" i="28" s="1"/>
  <c r="I123" i="28"/>
  <c r="E8" i="17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I161" i="28" l="1"/>
  <c r="K123" i="28"/>
  <c r="C105" i="32" s="1"/>
  <c r="D43" i="17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J41" i="17"/>
  <c r="I41" i="17"/>
  <c r="H41" i="17"/>
  <c r="J40" i="17"/>
  <c r="I40" i="17"/>
  <c r="H40" i="17"/>
  <c r="J15" i="17"/>
  <c r="I15" i="17"/>
  <c r="H15" i="17"/>
  <c r="J7" i="17"/>
  <c r="I7" i="17"/>
  <c r="H7" i="17"/>
  <c r="I9" i="17"/>
  <c r="H9" i="17"/>
  <c r="K161" i="28" l="1"/>
  <c r="L161" i="28" s="1"/>
  <c r="I169" i="28"/>
  <c r="L123" i="28"/>
  <c r="D18" i="17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J9" i="17"/>
  <c r="J8" i="17"/>
  <c r="J52" i="17"/>
  <c r="J46" i="17"/>
  <c r="J45" i="17"/>
  <c r="J55" i="17"/>
  <c r="G11" i="17"/>
  <c r="I6" i="17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L7" i="17"/>
  <c r="L15" i="17"/>
  <c r="J17" i="17"/>
  <c r="K40" i="17"/>
  <c r="H44" i="17"/>
  <c r="H51" i="17"/>
  <c r="I31" i="17"/>
  <c r="K41" i="17"/>
  <c r="L41" i="17"/>
  <c r="L8" i="17"/>
  <c r="H10" i="17"/>
  <c r="K7" i="17"/>
  <c r="H16" i="17"/>
  <c r="K8" i="17"/>
  <c r="K15" i="17"/>
  <c r="H12" i="17"/>
  <c r="H34" i="17"/>
  <c r="H17" i="17"/>
  <c r="H18" i="17"/>
  <c r="L40" i="17"/>
  <c r="H54" i="17"/>
  <c r="H49" i="17"/>
  <c r="J31" i="17"/>
  <c r="H31" i="17"/>
  <c r="C106" i="32" l="1"/>
  <c r="C110" i="32" s="1"/>
  <c r="C112" i="32" s="1"/>
  <c r="C115" i="32" s="1"/>
  <c r="I48" i="17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J12" i="17"/>
  <c r="J13" i="17"/>
  <c r="J10" i="17"/>
  <c r="J16" i="17"/>
  <c r="J6" i="17"/>
  <c r="J18" i="17"/>
  <c r="L46" i="17"/>
  <c r="J42" i="17"/>
  <c r="L52" i="17"/>
  <c r="L55" i="17"/>
  <c r="J48" i="17"/>
  <c r="J54" i="17"/>
  <c r="J39" i="17"/>
  <c r="L30" i="17"/>
  <c r="J34" i="17"/>
  <c r="L45" i="17"/>
  <c r="J44" i="17"/>
  <c r="J51" i="17"/>
  <c r="J49" i="17"/>
  <c r="K44" i="17"/>
  <c r="L13" i="17"/>
  <c r="K13" i="17"/>
  <c r="H27" i="17"/>
  <c r="K39" i="17"/>
  <c r="L39" i="17"/>
  <c r="L44" i="17"/>
  <c r="J29" i="17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I26" i="17"/>
  <c r="L18" i="17"/>
  <c r="K18" i="17"/>
  <c r="H33" i="17"/>
  <c r="H32" i="17" s="1"/>
  <c r="D35" i="17" l="1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J25" i="17"/>
  <c r="J37" i="17"/>
  <c r="L48" i="17"/>
  <c r="K27" i="17"/>
  <c r="L11" i="17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D56" i="17" l="1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J56" i="17" l="1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  <c r="J86" i="28" l="1"/>
  <c r="K86" i="28" s="1"/>
  <c r="K40" i="28"/>
  <c r="L40" i="28" s="1"/>
  <c r="L86" i="28" l="1"/>
  <c r="J92" i="28"/>
  <c r="K92" i="28" l="1"/>
  <c r="L92" i="28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G136" authorId="0" shapeId="0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sharedStrings.xml><?xml version="1.0" encoding="utf-8"?>
<sst xmlns="http://schemas.openxmlformats.org/spreadsheetml/2006/main" count="8449" uniqueCount="4499">
  <si>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</si>
  <si>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</si>
  <si>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</si>
  <si>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</si>
  <si>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</si>
  <si>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</si>
  <si>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</si>
  <si>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</si>
  <si>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</si>
  <si>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</si>
  <si>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</si>
  <si>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</si>
  <si>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</si>
  <si>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</si>
  <si>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</si>
  <si>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</si>
  <si>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</si>
  <si>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</si>
  <si>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</si>
  <si>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</si>
  <si>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</si>
  <si>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</si>
  <si>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</si>
  <si>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</si>
  <si>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</si>
  <si>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</si>
  <si>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</si>
  <si>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</si>
  <si>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</si>
  <si>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</si>
  <si>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</si>
  <si>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</si>
  <si>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</si>
  <si>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</si>
  <si>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</si>
  <si>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</si>
  <si>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</si>
  <si>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</si>
  <si>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</si>
  <si>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</si>
  <si>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</si>
  <si>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</si>
  <si>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</si>
  <si>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</si>
  <si>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</si>
  <si>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</si>
  <si>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</si>
  <si>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</si>
  <si>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</si>
  <si>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</si>
  <si>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</si>
  <si>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</si>
  <si>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</si>
  <si>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</si>
  <si>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</si>
  <si>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</si>
  <si>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</si>
  <si>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</si>
  <si>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</si>
  <si>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</si>
  <si>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</si>
  <si>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</si>
  <si>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</si>
  <si>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</si>
  <si>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</si>
  <si>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</si>
  <si>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</si>
  <si>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</si>
  <si>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</si>
  <si>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</si>
  <si>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</si>
  <si>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</si>
  <si>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</si>
  <si>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</si>
  <si>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</si>
  <si>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</si>
  <si>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</si>
  <si>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</si>
  <si>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</si>
  <si>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</si>
  <si>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</si>
  <si>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</si>
  <si>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</si>
  <si>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</si>
  <si>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</si>
  <si>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</si>
  <si>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</si>
  <si>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</si>
  <si>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</si>
  <si>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</si>
  <si>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</si>
  <si>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</si>
  <si>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</si>
  <si>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</si>
  <si>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</si>
  <si>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</si>
  <si>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</si>
  <si>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</si>
  <si>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</si>
  <si>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</si>
  <si>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</si>
  <si>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</si>
  <si>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</si>
  <si>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</si>
  <si>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</si>
  <si>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</si>
  <si>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</si>
  <si>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</si>
  <si>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</si>
  <si>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</si>
  <si>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</si>
  <si>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</si>
  <si>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</si>
  <si>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</si>
  <si>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</si>
  <si>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</si>
  <si>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</si>
  <si>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</si>
  <si>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</si>
  <si>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</si>
  <si>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</si>
  <si>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</si>
  <si>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</si>
  <si>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</si>
  <si>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</si>
  <si>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</si>
  <si>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</si>
  <si>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</si>
  <si>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</si>
  <si>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</si>
  <si>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</si>
  <si>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</si>
  <si>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</si>
  <si>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AA0040</t>
  </si>
  <si>
    <t>Altri contributi da FS regionale vincolati</t>
  </si>
  <si>
    <t>AA0050</t>
  </si>
  <si>
    <t>AA0060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</si>
  <si>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</si>
  <si>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</si>
  <si>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</si>
  <si>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</si>
  <si>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</si>
  <si>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</si>
  <si>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</si>
  <si>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</si>
  <si>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</si>
  <si>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</si>
  <si>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</si>
  <si>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</si>
  <si>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</si>
  <si>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</si>
  <si>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</si>
  <si>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</si>
  <si>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>AA0140</t>
  </si>
  <si>
    <t xml:space="preserve">Contributi da Ministero della Salute  (extra fondo) </t>
  </si>
  <si>
    <t>AA0141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</si>
  <si>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</si>
  <si>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</si>
  <si>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</si>
  <si>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</si>
  <si>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</si>
  <si>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</si>
  <si>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</si>
  <si>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</si>
  <si>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</si>
  <si>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</si>
  <si>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</si>
  <si>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</si>
  <si>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</si>
  <si>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</si>
  <si>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</si>
  <si>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</si>
  <si>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</si>
  <si>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</si>
  <si>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</si>
  <si>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</si>
  <si>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</si>
  <si>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</si>
  <si>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</si>
  <si>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</si>
  <si>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</si>
  <si>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</si>
  <si>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</si>
  <si>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</si>
  <si>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</si>
  <si>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</si>
  <si>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</si>
  <si>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</si>
  <si>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</si>
  <si>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</si>
  <si>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</si>
  <si>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</si>
  <si>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</si>
  <si>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</si>
  <si>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</si>
  <si>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</si>
  <si>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</si>
  <si>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AA0330</t>
  </si>
  <si>
    <t>AA0340</t>
  </si>
  <si>
    <t>Prestazioni di ricovero</t>
  </si>
  <si>
    <t>AA0350</t>
  </si>
  <si>
    <t>Rimborso per prestazioni in regime di ricovero (DRG)</t>
  </si>
  <si>
    <t>AA0360</t>
  </si>
  <si>
    <t>Rimborso per prestazioni ambulatoriali e diagnostiche</t>
  </si>
  <si>
    <t>AA0361</t>
  </si>
  <si>
    <t>AA0370</t>
  </si>
  <si>
    <t>AA0380</t>
  </si>
  <si>
    <t>AA0390</t>
  </si>
  <si>
    <t>AA0400</t>
  </si>
  <si>
    <t>AA0410</t>
  </si>
  <si>
    <t>AA0420</t>
  </si>
  <si>
    <t>AA0421</t>
  </si>
  <si>
    <t>AA0422</t>
  </si>
  <si>
    <t>AA0423</t>
  </si>
  <si>
    <t>AA0424</t>
  </si>
  <si>
    <t>AA0425</t>
  </si>
  <si>
    <t>AA0430</t>
  </si>
  <si>
    <t xml:space="preserve">Ricavi per prestaz. sanitarie e sociosanitarie a rilevanza sanitaria erogate ad altri soggetti pubblici </t>
  </si>
  <si>
    <t>AA0440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</si>
  <si>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</si>
  <si>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</si>
  <si>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</si>
  <si>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</si>
  <si>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</si>
  <si>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</si>
  <si>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AA0471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</si>
  <si>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</si>
  <si>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</si>
  <si>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</si>
  <si>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</si>
  <si>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</si>
  <si>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</si>
  <si>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</si>
  <si>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</si>
  <si>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</si>
  <si>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</si>
  <si>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</si>
  <si>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</si>
  <si>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</si>
  <si>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</si>
  <si>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</si>
  <si>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</si>
  <si>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</si>
  <si>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</si>
  <si>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</si>
  <si>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</si>
  <si>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</si>
  <si>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</si>
  <si>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</si>
  <si>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</si>
  <si>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</si>
  <si>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</si>
  <si>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</si>
  <si>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</si>
  <si>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</si>
  <si>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</si>
  <si>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</si>
  <si>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</si>
  <si>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</si>
  <si>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</si>
  <si>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</si>
  <si>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</si>
  <si>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</si>
  <si>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</si>
  <si>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</si>
  <si>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</si>
  <si>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</si>
  <si>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</si>
  <si>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</si>
  <si>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</si>
  <si>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</si>
  <si>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</si>
  <si>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</si>
  <si>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</si>
  <si>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</si>
  <si>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</si>
  <si>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</si>
  <si>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</si>
  <si>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</si>
  <si>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</si>
  <si>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</si>
  <si>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</si>
  <si>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</si>
  <si>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</si>
  <si>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</si>
  <si>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</si>
  <si>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</si>
  <si>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</si>
  <si>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</si>
  <si>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</si>
  <si>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</si>
  <si>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</si>
  <si>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</si>
  <si>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</si>
  <si>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</si>
  <si>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</si>
  <si>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</si>
  <si>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</si>
  <si>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</si>
  <si>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</si>
  <si>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</si>
  <si>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</si>
  <si>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</si>
  <si>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</si>
  <si>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</si>
  <si>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</si>
  <si>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</si>
  <si>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</si>
  <si>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</si>
  <si>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</si>
  <si>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</si>
  <si>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</si>
  <si>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</si>
  <si>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</si>
  <si>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</si>
  <si>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Rimborsi assicurativi</t>
  </si>
  <si>
    <t>AA0760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</si>
  <si>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</si>
  <si>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</si>
  <si>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</si>
  <si>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</si>
  <si>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</si>
  <si>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</si>
  <si>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</si>
  <si>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</si>
  <si>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AA0830</t>
  </si>
  <si>
    <t>Altri concorsi, recuperi e rimborsi da parte della Regione - GSA</t>
  </si>
  <si>
    <t>AA0831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</si>
  <si>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</si>
  <si>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</si>
  <si>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</si>
  <si>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</si>
  <si>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</si>
  <si>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</si>
  <si>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</si>
  <si>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</si>
  <si>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</si>
  <si>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</si>
  <si>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</si>
  <si>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</si>
  <si>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AA0880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</si>
  <si>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</si>
  <si>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</si>
  <si>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</si>
  <si>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</si>
  <si>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</si>
  <si>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</si>
  <si>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</si>
  <si>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</si>
  <si>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</si>
  <si>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</si>
  <si>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</si>
  <si>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</si>
  <si>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</si>
  <si>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</si>
  <si>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</si>
  <si>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</si>
  <si>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</si>
  <si>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</si>
  <si>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</si>
  <si>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</si>
  <si>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</si>
  <si>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</si>
  <si>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</si>
  <si>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</si>
  <si>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</si>
  <si>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</si>
  <si>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</si>
  <si>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</si>
  <si>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</si>
  <si>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</si>
  <si>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</si>
  <si>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</si>
  <si>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</si>
  <si>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</si>
  <si>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</si>
  <si>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</si>
  <si>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</si>
  <si>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</si>
  <si>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</si>
  <si>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</si>
  <si>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</si>
  <si>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</si>
  <si>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</si>
  <si>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</si>
  <si>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AA1070</t>
  </si>
  <si>
    <t>Differenze alberghiere camere speciali</t>
  </si>
  <si>
    <t>Cessione liquidi di fissaggio, rottami e materiali diversi</t>
  </si>
  <si>
    <t>Altri ricavi per prestazioni non sanitarie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</si>
  <si>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</si>
  <si>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</si>
  <si>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</si>
  <si>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</si>
  <si>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</si>
  <si>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</si>
  <si>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</si>
  <si>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</si>
  <si>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CA0010</t>
  </si>
  <si>
    <t>Interessi attivi su c/tesoreria unica</t>
  </si>
  <si>
    <t>CA0020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</si>
  <si>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</si>
  <si>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</si>
  <si>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</si>
  <si>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</si>
  <si>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</si>
  <si>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</si>
  <si>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</si>
  <si>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</si>
  <si>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</si>
  <si>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</si>
  <si>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</si>
  <si>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</si>
  <si>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</si>
  <si>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</si>
  <si>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</si>
  <si>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</si>
  <si>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</si>
  <si>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</si>
  <si>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</si>
  <si>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</si>
  <si>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</si>
  <si>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</si>
  <si>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</si>
  <si>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</si>
  <si>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</si>
  <si>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</si>
  <si>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</si>
  <si>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</si>
  <si>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</si>
  <si>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</si>
  <si>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</si>
  <si>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</si>
  <si>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</si>
  <si>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</si>
  <si>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</si>
  <si>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</si>
  <si>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</si>
  <si>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</si>
  <si>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</si>
  <si>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</si>
  <si>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</si>
  <si>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</si>
  <si>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</si>
  <si>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</si>
  <si>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</si>
  <si>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</si>
  <si>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>Insussistenze attive v/Aziende sanitarie pubbliche della Regione</t>
  </si>
  <si>
    <t>EA0160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</si>
  <si>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</si>
  <si>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</si>
  <si>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</si>
  <si>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</si>
  <si>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</si>
  <si>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</si>
  <si>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</si>
  <si>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</si>
  <si>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</si>
  <si>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</si>
  <si>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</si>
  <si>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</si>
  <si>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</si>
  <si>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</si>
  <si>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</si>
  <si>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BA0010</t>
  </si>
  <si>
    <t>BA0020</t>
  </si>
  <si>
    <t>BA0030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</si>
  <si>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</si>
  <si>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</si>
  <si>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</si>
  <si>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</si>
  <si>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</si>
  <si>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</si>
  <si>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</si>
  <si>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</si>
  <si>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</si>
  <si>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</si>
  <si>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</si>
  <si>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</si>
  <si>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</si>
  <si>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BA0070</t>
  </si>
  <si>
    <t>BA0080</t>
  </si>
  <si>
    <t>BA0090</t>
  </si>
  <si>
    <t>da altri soggetti</t>
  </si>
  <si>
    <t>BA0100</t>
  </si>
  <si>
    <t>Dispositivi medici</t>
  </si>
  <si>
    <t>BA0210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</si>
  <si>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</si>
  <si>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</si>
  <si>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</si>
  <si>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</si>
  <si>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</si>
  <si>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</si>
  <si>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</si>
  <si>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</si>
  <si>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</si>
  <si>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</si>
  <si>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</si>
  <si>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</si>
  <si>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</si>
  <si>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</si>
  <si>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</si>
  <si>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BA0300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</si>
  <si>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</si>
  <si>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</si>
  <si>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</si>
  <si>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</si>
  <si>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</si>
  <si>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</si>
  <si>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</si>
  <si>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</si>
  <si>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</si>
  <si>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</si>
  <si>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</si>
  <si>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</si>
  <si>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</si>
  <si>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</si>
  <si>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BA0350</t>
  </si>
  <si>
    <t>Cancelleria e stampati</t>
  </si>
  <si>
    <t>Materiali di consumo per l'informatica</t>
  </si>
  <si>
    <t>Materiale didattico, audiovisivo e fotografico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</si>
  <si>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</si>
  <si>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</si>
  <si>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</si>
  <si>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</si>
  <si>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</si>
  <si>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BA0380</t>
  </si>
  <si>
    <t>BA0390</t>
  </si>
  <si>
    <t>BA0400</t>
  </si>
  <si>
    <t>BA0410</t>
  </si>
  <si>
    <t>BA0420</t>
  </si>
  <si>
    <t>BA0430</t>
  </si>
  <si>
    <t>BA0440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</si>
  <si>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</si>
  <si>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</si>
  <si>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</si>
  <si>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</si>
  <si>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</si>
  <si>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</si>
  <si>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</si>
  <si>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</si>
  <si>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</si>
  <si>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</si>
  <si>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</si>
  <si>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</si>
  <si>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</si>
  <si>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</si>
  <si>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BA0460</t>
  </si>
  <si>
    <t>Medicina fiscale</t>
  </si>
  <si>
    <t>BA0470</t>
  </si>
  <si>
    <t>BA0480</t>
  </si>
  <si>
    <t>BA0490</t>
  </si>
  <si>
    <t>BA0500</t>
  </si>
  <si>
    <t>Prodotti farmaceutici e galenici</t>
  </si>
  <si>
    <t>Contributi farmacie rurali ed Enpaf</t>
  </si>
  <si>
    <t>BA0510</t>
  </si>
  <si>
    <t>BA0520</t>
  </si>
  <si>
    <t>BA0530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</si>
  <si>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</si>
  <si>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</si>
  <si>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</si>
  <si>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</si>
  <si>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</si>
  <si>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</si>
  <si>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</si>
  <si>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</si>
  <si>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</si>
  <si>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</si>
  <si>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</si>
  <si>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</si>
  <si>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</si>
  <si>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BA0570</t>
  </si>
  <si>
    <t>BA0580</t>
  </si>
  <si>
    <t>Servizi sanitari per assistenza specialistica da IRCCS privati e Policlinici privati</t>
  </si>
  <si>
    <t>BA0590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</si>
  <si>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</si>
  <si>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</si>
  <si>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</si>
  <si>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</si>
  <si>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</si>
  <si>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</si>
  <si>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</si>
  <si>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</si>
  <si>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</si>
  <si>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</si>
  <si>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</si>
  <si>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</si>
  <si>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</si>
  <si>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</si>
  <si>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</si>
  <si>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</si>
  <si>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BA0640</t>
  </si>
  <si>
    <t>BA0650</t>
  </si>
  <si>
    <t>BA0660</t>
  </si>
  <si>
    <t>BA0670</t>
  </si>
  <si>
    <t>BA0680</t>
  </si>
  <si>
    <t>BA0690</t>
  </si>
  <si>
    <t>BA0700</t>
  </si>
  <si>
    <t>BA0710</t>
  </si>
  <si>
    <t>BA0720</t>
  </si>
  <si>
    <t>BA0730</t>
  </si>
  <si>
    <t>BA0740</t>
  </si>
  <si>
    <t>AFIR farmacie convenzionate</t>
  </si>
  <si>
    <t>Fornitura ausilii per incontinenti</t>
  </si>
  <si>
    <t>Ossigeno terapia domiciliare</t>
  </si>
  <si>
    <t>AFIR altro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</si>
  <si>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</si>
  <si>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</si>
  <si>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</si>
  <si>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</si>
  <si>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</si>
  <si>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</si>
  <si>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</si>
  <si>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</si>
  <si>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</si>
  <si>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</si>
  <si>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</si>
  <si>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</si>
  <si>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</si>
  <si>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</si>
  <si>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</si>
  <si>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</si>
  <si>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</si>
  <si>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</si>
  <si>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</si>
  <si>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</si>
  <si>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</si>
  <si>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</si>
  <si>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</si>
  <si>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</si>
  <si>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BA0900</t>
  </si>
  <si>
    <t>BA0910</t>
  </si>
  <si>
    <t>BA0920</t>
  </si>
  <si>
    <t>BA0930</t>
  </si>
  <si>
    <t>BA0940</t>
  </si>
  <si>
    <t>BA0950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</si>
  <si>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</si>
  <si>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</si>
  <si>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</si>
  <si>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</si>
  <si>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</si>
  <si>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</si>
  <si>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</si>
  <si>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BA1010</t>
  </si>
  <si>
    <t>BA1020</t>
  </si>
  <si>
    <t>BA1030</t>
  </si>
  <si>
    <t>BA1040</t>
  </si>
  <si>
    <t>BA1050</t>
  </si>
  <si>
    <t>BA1060</t>
  </si>
  <si>
    <t>BA1070</t>
  </si>
  <si>
    <t>BA1080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</si>
  <si>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</si>
  <si>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</si>
  <si>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</si>
  <si>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</si>
  <si>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</si>
  <si>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</si>
  <si>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</si>
  <si>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</si>
  <si>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</si>
  <si>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BA1140</t>
  </si>
  <si>
    <t>BA1150</t>
  </si>
  <si>
    <t>Assistenza domiciliare integrata (ADI)</t>
  </si>
  <si>
    <t>BA1151</t>
  </si>
  <si>
    <t>BA1152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</si>
  <si>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</si>
  <si>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</si>
  <si>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</si>
  <si>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</si>
  <si>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</si>
  <si>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>BA1161</t>
  </si>
  <si>
    <t>BA1170</t>
  </si>
  <si>
    <t>BA1180</t>
  </si>
  <si>
    <t>Conv. per ass. ostetrica ed infermieristica</t>
  </si>
  <si>
    <t>Conv. per ass. domiciliare -ADI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</si>
  <si>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</si>
  <si>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</si>
  <si>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</si>
  <si>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</si>
  <si>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</si>
  <si>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</si>
  <si>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</si>
  <si>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</si>
  <si>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</si>
  <si>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</si>
  <si>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</si>
  <si>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</si>
  <si>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</si>
  <si>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</si>
  <si>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</si>
  <si>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BA1250</t>
  </si>
  <si>
    <t>BA1260</t>
  </si>
  <si>
    <t>Consulenze a favore di terzi, rimborsate Dirigenza ruolo professionale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</si>
  <si>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</si>
  <si>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</si>
  <si>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</si>
  <si>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>Personale di supporto diretto e indiretto</t>
  </si>
  <si>
    <t>Quota di perequazione</t>
  </si>
  <si>
    <t>BA1270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</si>
  <si>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</si>
  <si>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</si>
  <si>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</si>
  <si>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</si>
  <si>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</si>
  <si>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</si>
  <si>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</si>
  <si>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</si>
  <si>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</si>
  <si>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</si>
  <si>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</si>
  <si>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</si>
  <si>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</si>
  <si>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</si>
  <si>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</si>
  <si>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</si>
  <si>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</si>
  <si>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</si>
  <si>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</si>
  <si>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</si>
  <si>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</si>
  <si>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</si>
  <si>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</si>
  <si>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</si>
  <si>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</si>
  <si>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</si>
  <si>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</si>
  <si>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</si>
  <si>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</si>
  <si>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</si>
  <si>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BA1380</t>
  </si>
  <si>
    <t>Consulenze sanitarie da privato - articolo 55, comma 2, CCNL 8 giugno 2000</t>
  </si>
  <si>
    <t>BA1390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</si>
  <si>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</si>
  <si>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</si>
  <si>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</si>
  <si>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</si>
  <si>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</si>
  <si>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</si>
  <si>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</si>
  <si>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</si>
  <si>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</si>
  <si>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>BA1420</t>
  </si>
  <si>
    <t>BA1430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</si>
  <si>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</si>
  <si>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</si>
  <si>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</si>
  <si>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</si>
  <si>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</si>
  <si>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</si>
  <si>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</si>
  <si>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</si>
  <si>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</si>
  <si>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</si>
  <si>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</si>
  <si>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</si>
  <si>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</si>
  <si>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</si>
  <si>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</si>
  <si>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</si>
  <si>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</si>
  <si>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</si>
  <si>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</si>
  <si>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</si>
  <si>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</si>
  <si>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</si>
  <si>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</si>
  <si>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</si>
  <si>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</si>
  <si>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</si>
  <si>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</si>
  <si>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</si>
  <si>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</si>
  <si>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</si>
  <si>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</si>
  <si>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</si>
  <si>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</si>
  <si>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</si>
  <si>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</si>
  <si>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>BA1570</t>
  </si>
  <si>
    <t>Lavanderia</t>
  </si>
  <si>
    <t>BA1580</t>
  </si>
  <si>
    <t>Pulizia</t>
  </si>
  <si>
    <t>BA1590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</si>
  <si>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</si>
  <si>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</si>
  <si>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</si>
  <si>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</si>
  <si>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</si>
  <si>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</si>
  <si>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</si>
  <si>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</si>
  <si>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</si>
  <si>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</si>
  <si>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</si>
  <si>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</si>
  <si>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</si>
  <si>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</si>
  <si>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</si>
  <si>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</si>
  <si>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</si>
  <si>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</si>
  <si>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</si>
  <si>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</si>
  <si>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</si>
  <si>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</si>
  <si>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</si>
  <si>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</si>
  <si>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</si>
  <si>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</si>
  <si>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BA1680</t>
  </si>
  <si>
    <t>BA1690</t>
  </si>
  <si>
    <t>Premi di assicurazione - Altri premi assicurativi</t>
  </si>
  <si>
    <t>BA1700</t>
  </si>
  <si>
    <t>BA1710</t>
  </si>
  <si>
    <t>Altri servizi non sanitari da pubblico (Aziende sanitarie pubbliche della Regione)</t>
  </si>
  <si>
    <t>BA1720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</si>
  <si>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</si>
  <si>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</si>
  <si>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</si>
  <si>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</si>
  <si>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</si>
  <si>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</si>
  <si>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</si>
  <si>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</si>
  <si>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</si>
  <si>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</si>
  <si>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</si>
  <si>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</si>
  <si>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</si>
  <si>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</si>
  <si>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</si>
  <si>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</si>
  <si>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</si>
  <si>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</si>
  <si>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</si>
  <si>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</si>
  <si>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</si>
  <si>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</si>
  <si>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</si>
  <si>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</si>
  <si>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BA1780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</si>
  <si>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</si>
  <si>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</si>
  <si>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</si>
  <si>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</si>
  <si>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</si>
  <si>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</si>
  <si>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</si>
  <si>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</si>
  <si>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>BA1810</t>
  </si>
  <si>
    <t>BA1820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</si>
  <si>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</si>
  <si>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</si>
  <si>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</si>
  <si>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</si>
  <si>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</si>
  <si>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BA1831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</si>
  <si>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</si>
  <si>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</si>
  <si>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</si>
  <si>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</si>
  <si>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</si>
  <si>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</si>
  <si>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</si>
  <si>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</si>
  <si>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</si>
  <si>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</si>
  <si>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</si>
  <si>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</si>
  <si>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ai fabbricati e loro pertinenze</t>
  </si>
  <si>
    <t>BA1920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</si>
  <si>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</si>
  <si>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</si>
  <si>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</si>
  <si>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</si>
  <si>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</si>
  <si>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</si>
  <si>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</si>
  <si>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</si>
  <si>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</si>
  <si>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</si>
  <si>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</si>
  <si>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</si>
  <si>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</si>
  <si>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</si>
  <si>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</si>
  <si>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</si>
  <si>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</si>
  <si>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BA2000</t>
  </si>
  <si>
    <t>Locazioni passive</t>
  </si>
  <si>
    <t>Spese condominiali</t>
  </si>
  <si>
    <t>BA2010</t>
  </si>
  <si>
    <t>Canoni di noleggio - area sanitaria</t>
  </si>
  <si>
    <t>BA2020</t>
  </si>
  <si>
    <t>BA2030</t>
  </si>
  <si>
    <t>Canoni hardware e software</t>
  </si>
  <si>
    <t>Canoni fotocopiatrici</t>
  </si>
  <si>
    <t>Canoni noleggio automezzi</t>
  </si>
  <si>
    <t>Canoni noleggio altro</t>
  </si>
  <si>
    <t>BA2040</t>
  </si>
  <si>
    <t>BA2050</t>
  </si>
  <si>
    <t>BA2060</t>
  </si>
  <si>
    <t>Canoni di project financing</t>
  </si>
  <si>
    <t>BA2061</t>
  </si>
  <si>
    <t>Locazioni e noleggi da Aziende sanitarie pubbliche della Regione</t>
  </si>
  <si>
    <t>BA2070</t>
  </si>
  <si>
    <t>BA2090</t>
  </si>
  <si>
    <t>BA2100</t>
  </si>
  <si>
    <t>BA2110</t>
  </si>
  <si>
    <t>BA2120</t>
  </si>
  <si>
    <t>BA2130</t>
  </si>
  <si>
    <t>Costo del personale dirigente medico - altro</t>
  </si>
  <si>
    <t>BA2140</t>
  </si>
  <si>
    <t>BA2150</t>
  </si>
  <si>
    <t>BA2160</t>
  </si>
  <si>
    <t>BA2170</t>
  </si>
  <si>
    <t>BA2180</t>
  </si>
  <si>
    <t>BA2190</t>
  </si>
  <si>
    <t>BA2200</t>
  </si>
  <si>
    <t>BA2210</t>
  </si>
  <si>
    <t>Costo del personale comparto ruolo sanitario - altro</t>
  </si>
  <si>
    <t>BA2220</t>
  </si>
  <si>
    <t>BA2230</t>
  </si>
  <si>
    <t>BA2240</t>
  </si>
  <si>
    <t>BA2250</t>
  </si>
  <si>
    <t>BA2260</t>
  </si>
  <si>
    <t>Costo del personale dirigente ruolo professionale - altro</t>
  </si>
  <si>
    <t>BA2270</t>
  </si>
  <si>
    <t>BA2280</t>
  </si>
  <si>
    <t>BA2290</t>
  </si>
  <si>
    <t>BA2300</t>
  </si>
  <si>
    <t>Costo del personale comparto ruolo professionale - altro</t>
  </si>
  <si>
    <t>BA2310</t>
  </si>
  <si>
    <t>BA2320</t>
  </si>
  <si>
    <t>BA2330</t>
  </si>
  <si>
    <t>BA2340</t>
  </si>
  <si>
    <t>BA2350</t>
  </si>
  <si>
    <t>Costo del personale dirigente ruolo tecnico - altro</t>
  </si>
  <si>
    <t>BA2360</t>
  </si>
  <si>
    <t>BA2370</t>
  </si>
  <si>
    <t>BA2380</t>
  </si>
  <si>
    <t>BA2390</t>
  </si>
  <si>
    <t>Costo del personale comparto ruolo tecnico - altro</t>
  </si>
  <si>
    <t>BA2400</t>
  </si>
  <si>
    <t>BA2410</t>
  </si>
  <si>
    <t>BA2420</t>
  </si>
  <si>
    <t>BA2430</t>
  </si>
  <si>
    <t>BA2440</t>
  </si>
  <si>
    <t>Costo del personale dirigente ruolo amministrativo - altro</t>
  </si>
  <si>
    <t>BA2450</t>
  </si>
  <si>
    <t>BA2460</t>
  </si>
  <si>
    <t>BA2470</t>
  </si>
  <si>
    <t>BA2480</t>
  </si>
  <si>
    <t>Costo del personale comparto ruolo amministrativo - altro</t>
  </si>
  <si>
    <t>BA2490</t>
  </si>
  <si>
    <t>BA2500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</si>
  <si>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</si>
  <si>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</si>
  <si>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</si>
  <si>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</si>
  <si>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</si>
  <si>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</si>
  <si>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</si>
  <si>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</si>
  <si>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</si>
  <si>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</si>
  <si>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</si>
  <si>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</si>
  <si>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BA2540</t>
  </si>
  <si>
    <t>Compensi agli organi direttivi e di indirizzo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</si>
  <si>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</si>
  <si>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</si>
  <si>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</si>
  <si>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</si>
  <si>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</si>
  <si>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</si>
  <si>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</si>
  <si>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</si>
  <si>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</si>
  <si>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</si>
  <si>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</si>
  <si>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</si>
  <si>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BA2570</t>
  </si>
  <si>
    <t>Ammortamento Costi di impianto e ampliamento</t>
  </si>
  <si>
    <t>Ammortamento Costi di ricerca, sviluppo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</si>
  <si>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</si>
  <si>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</si>
  <si>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</si>
  <si>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</si>
  <si>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</si>
  <si>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BA2580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</si>
  <si>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</si>
  <si>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</si>
  <si>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</si>
  <si>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</si>
  <si>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</si>
  <si>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</si>
  <si>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</si>
  <si>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</si>
  <si>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</si>
  <si>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</si>
  <si>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</si>
  <si>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BA2630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</si>
  <si>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</si>
  <si>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</si>
  <si>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</si>
  <si>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</si>
  <si>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</si>
  <si>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</si>
  <si>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</si>
  <si>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</si>
  <si>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</si>
  <si>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</si>
  <si>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</si>
  <si>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</si>
  <si>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</si>
  <si>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</si>
  <si>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>Svalutazione oggetti d'arte</t>
  </si>
  <si>
    <t>Svalutazione altre immobilizzazioni materiali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</si>
  <si>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</si>
  <si>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</si>
  <si>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</si>
  <si>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</si>
  <si>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</si>
  <si>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</si>
  <si>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</si>
  <si>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</si>
  <si>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</si>
  <si>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</si>
  <si>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</si>
  <si>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</si>
  <si>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</si>
  <si>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</si>
  <si>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</si>
  <si>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</si>
  <si>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</si>
  <si>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</si>
  <si>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</si>
  <si>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</si>
  <si>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</si>
  <si>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</si>
  <si>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</si>
  <si>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</si>
  <si>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</si>
  <si>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</si>
  <si>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</si>
  <si>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</si>
  <si>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</si>
  <si>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</si>
  <si>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</si>
  <si>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</si>
  <si>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</si>
  <si>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</si>
  <si>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</si>
  <si>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</si>
  <si>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</si>
  <si>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</si>
  <si>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</si>
  <si>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</si>
  <si>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</si>
  <si>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</si>
  <si>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</si>
  <si>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</si>
  <si>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</si>
  <si>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</si>
  <si>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</si>
  <si>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</si>
  <si>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</si>
  <si>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</si>
  <si>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</si>
  <si>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</si>
  <si>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</si>
  <si>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BA2680</t>
  </si>
  <si>
    <t>BA2681</t>
  </si>
  <si>
    <t>BA2682</t>
  </si>
  <si>
    <t>BA2683</t>
  </si>
  <si>
    <t>BA2684</t>
  </si>
  <si>
    <t>BA2685</t>
  </si>
  <si>
    <t>BA2686</t>
  </si>
  <si>
    <t>BA2690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</si>
  <si>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</si>
  <si>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</si>
  <si>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</si>
  <si>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</si>
  <si>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</si>
  <si>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</si>
  <si>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</si>
  <si>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</si>
  <si>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</si>
  <si>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</si>
  <si>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</si>
  <si>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</si>
  <si>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</si>
  <si>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</si>
  <si>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</si>
  <si>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</si>
  <si>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</si>
  <si>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BA2760</t>
  </si>
  <si>
    <t>Accantonamento al fondo SUMAI - Specialisti ambulatoriali</t>
  </si>
  <si>
    <t>Accantonamento al fondo SUMAI - altre professioni</t>
  </si>
  <si>
    <t>BA2770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</si>
  <si>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</si>
  <si>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</si>
  <si>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</si>
  <si>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</si>
  <si>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</si>
  <si>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</si>
  <si>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</si>
  <si>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</si>
  <si>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</si>
  <si>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</si>
  <si>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</si>
  <si>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</si>
  <si>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</si>
  <si>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</si>
  <si>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</si>
  <si>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</si>
  <si>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</si>
  <si>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</si>
  <si>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</si>
  <si>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</si>
  <si>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</si>
  <si>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</si>
  <si>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</si>
  <si>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</si>
  <si>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</si>
  <si>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</si>
  <si>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</si>
  <si>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</si>
  <si>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</si>
  <si>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</si>
  <si>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</si>
  <si>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</si>
  <si>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</si>
  <si>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</si>
  <si>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</si>
  <si>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</si>
  <si>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</si>
  <si>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</si>
  <si>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</si>
  <si>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</si>
  <si>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</si>
  <si>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</si>
  <si>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</si>
  <si>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</si>
  <si>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</si>
  <si>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</si>
  <si>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</si>
  <si>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</si>
  <si>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</si>
  <si>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</si>
  <si>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</si>
  <si>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</si>
  <si>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</si>
  <si>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</si>
  <si>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</si>
  <si>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EA0310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</si>
  <si>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</si>
  <si>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</si>
  <si>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</si>
  <si>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</si>
  <si>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</si>
  <si>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EA0350</t>
  </si>
  <si>
    <t>Sopravvenienze passive v/terzi relative alla mobilità extraregionale</t>
  </si>
  <si>
    <t>EA0360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</si>
  <si>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</si>
  <si>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</si>
  <si>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</si>
  <si>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</si>
  <si>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</si>
  <si>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</si>
  <si>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</si>
  <si>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</si>
  <si>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</si>
  <si>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</si>
  <si>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</si>
  <si>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</si>
  <si>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</si>
  <si>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</si>
  <si>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</si>
  <si>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</si>
  <si>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</si>
  <si>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</si>
  <si>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</si>
  <si>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</si>
  <si>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</si>
  <si>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</si>
  <si>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</si>
  <si>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</si>
  <si>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</si>
  <si>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</si>
  <si>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</si>
  <si>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</si>
  <si>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</si>
  <si>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</si>
  <si>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</si>
  <si>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</si>
  <si>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</si>
  <si>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</si>
  <si>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</si>
  <si>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</si>
  <si>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</si>
  <si>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</si>
  <si>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</si>
  <si>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</si>
  <si>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</si>
  <si>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</si>
  <si>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</si>
  <si>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</si>
  <si>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</si>
  <si>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</si>
  <si>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</si>
  <si>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</si>
  <si>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</si>
  <si>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</si>
  <si>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</si>
  <si>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</si>
  <si>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</si>
  <si>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</si>
  <si>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</si>
  <si>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</si>
  <si>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</si>
  <si>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</si>
  <si>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</si>
  <si>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</si>
  <si>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</si>
  <si>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CONSUNTIVO</t>
  </si>
  <si>
    <t>APPROVAZIONE BILANCIO DA PARTE DEL COLLEGIO SINDACALE</t>
  </si>
  <si>
    <t xml:space="preserve">NO  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</si>
  <si>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</si>
  <si>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</si>
  <si>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</si>
  <si>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</si>
  <si>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</si>
  <si>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</si>
  <si>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</si>
  <si>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</si>
  <si>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</si>
  <si>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</si>
  <si>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</si>
  <si>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</si>
  <si>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</si>
  <si>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</si>
  <si>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</si>
  <si>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</si>
  <si>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</si>
  <si>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</si>
  <si>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</si>
  <si>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</si>
  <si>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</si>
  <si>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</si>
  <si>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</si>
  <si>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</si>
  <si>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</si>
  <si>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</si>
  <si>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</si>
  <si>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</si>
  <si>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</si>
  <si>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</si>
  <si>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</si>
  <si>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</si>
  <si>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</si>
  <si>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</si>
  <si>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</si>
  <si>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</si>
  <si>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</si>
  <si>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</si>
  <si>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</si>
  <si>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</si>
  <si>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</si>
  <si>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</si>
  <si>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</si>
  <si>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</si>
  <si>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</si>
  <si>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</si>
  <si>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</si>
  <si>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</si>
  <si>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</si>
  <si>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</si>
  <si>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</si>
  <si>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</si>
  <si>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</si>
  <si>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</si>
  <si>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</si>
  <si>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</si>
  <si>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</si>
  <si>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</si>
  <si>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</si>
  <si>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</si>
  <si>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</si>
  <si>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</si>
  <si>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</si>
  <si>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</si>
  <si>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</si>
  <si>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</si>
  <si>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</si>
  <si>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</si>
  <si>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</si>
  <si>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</si>
  <si>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</si>
  <si>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</si>
  <si>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</si>
  <si>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</si>
  <si>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</si>
  <si>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</si>
  <si>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</si>
  <si>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</si>
  <si>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</si>
  <si>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</si>
  <si>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</si>
  <si>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</si>
  <si>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</si>
  <si>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</si>
  <si>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</si>
  <si>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</si>
  <si>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</si>
  <si>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</si>
  <si>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</si>
  <si>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</si>
  <si>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</si>
  <si>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</si>
  <si>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</si>
  <si>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</si>
  <si>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</si>
  <si>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</si>
  <si>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</si>
  <si>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</si>
  <si>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</si>
  <si>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</si>
  <si>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</si>
  <si>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</si>
  <si>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</si>
  <si>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</si>
  <si>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</si>
  <si>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</si>
  <si>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</si>
  <si>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</si>
  <si>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</si>
  <si>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</si>
  <si>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</si>
  <si>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</si>
  <si>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</si>
  <si>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</si>
  <si>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</si>
  <si>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</si>
  <si>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</si>
  <si>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</si>
  <si>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</si>
  <si>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</si>
  <si>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</si>
  <si>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</si>
  <si>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</si>
  <si>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</si>
  <si>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</si>
  <si>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</si>
  <si>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</si>
  <si>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</si>
  <si>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</si>
  <si>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</si>
  <si>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</si>
  <si>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</si>
  <si>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</si>
  <si>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</si>
  <si>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</si>
  <si>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</si>
  <si>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</si>
  <si>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</si>
  <si>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</si>
  <si>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</si>
  <si>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</si>
  <si>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</si>
  <si>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</si>
  <si>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</si>
  <si>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</si>
  <si>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</si>
  <si>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</si>
  <si>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</si>
  <si>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</si>
  <si>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</si>
  <si>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</si>
  <si>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</si>
  <si>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</si>
  <si>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</si>
  <si>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</si>
  <si>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</si>
  <si>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</si>
  <si>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</si>
  <si>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</si>
  <si>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</si>
  <si>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</si>
  <si>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</si>
  <si>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</si>
  <si>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</si>
  <si>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</si>
  <si>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</si>
  <si>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</si>
  <si>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</si>
  <si>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</si>
  <si>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</si>
  <si>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</si>
  <si>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</si>
  <si>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</si>
  <si>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</si>
  <si>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</si>
  <si>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</si>
  <si>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</si>
  <si>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</si>
  <si>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</si>
  <si>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</si>
  <si>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</si>
  <si>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</si>
  <si>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</si>
  <si>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</si>
  <si>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</si>
  <si>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</si>
  <si>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</si>
  <si>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</si>
  <si>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</si>
  <si>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</si>
  <si>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</si>
  <si>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</si>
  <si>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</si>
  <si>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</si>
  <si>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</si>
  <si>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</si>
  <si>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</si>
  <si>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</si>
  <si>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</si>
  <si>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</si>
  <si>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</si>
  <si>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</si>
  <si>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</si>
  <si>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</si>
  <si>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</si>
  <si>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</si>
  <si>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</si>
  <si>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</si>
  <si>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</si>
  <si>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</si>
  <si>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</si>
  <si>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</si>
  <si>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</si>
  <si>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</si>
  <si>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</si>
  <si>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</si>
  <si>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</si>
  <si>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</si>
  <si>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</si>
  <si>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</si>
  <si>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</si>
  <si>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</si>
  <si>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</si>
  <si>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</si>
  <si>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</si>
  <si>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</si>
  <si>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</si>
  <si>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</si>
  <si>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</si>
  <si>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</si>
  <si>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</si>
  <si>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</si>
  <si>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</si>
  <si>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</si>
  <si>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</si>
  <si>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</si>
  <si>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</si>
  <si>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</si>
  <si>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</si>
  <si>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</si>
  <si>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</si>
  <si>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</si>
  <si>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</si>
  <si>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</si>
  <si>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</si>
  <si>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</si>
  <si>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</si>
  <si>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</si>
  <si>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</si>
  <si>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</si>
  <si>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</si>
  <si>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</si>
  <si>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</si>
  <si>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</si>
  <si>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</si>
  <si>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</si>
  <si>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</si>
  <si>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</si>
  <si>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</si>
  <si>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</si>
  <si>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</si>
  <si>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</si>
  <si>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</si>
  <si>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</si>
  <si>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</si>
  <si>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</si>
  <si>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</si>
  <si>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</si>
  <si>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</si>
  <si>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</si>
  <si>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</si>
  <si>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</si>
  <si>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</si>
  <si>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</si>
  <si>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</si>
  <si>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</si>
  <si>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</si>
  <si>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</si>
  <si>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</si>
  <si>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</si>
  <si>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</si>
  <si>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</si>
  <si>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</si>
  <si>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</si>
  <si>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</si>
  <si>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</si>
  <si>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</si>
  <si>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</si>
  <si>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</si>
  <si>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</si>
  <si>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</si>
  <si>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</si>
  <si>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</si>
  <si>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</si>
  <si>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</si>
  <si>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</si>
  <si>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</si>
  <si>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</si>
  <si>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</si>
  <si>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</si>
  <si>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</si>
  <si>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</si>
  <si>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</si>
  <si>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</si>
  <si>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</si>
  <si>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</si>
  <si>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</si>
  <si>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</si>
  <si>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</si>
  <si>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</si>
  <si>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</si>
  <si>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</si>
  <si>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</si>
  <si>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</si>
  <si>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</si>
  <si>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</si>
  <si>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</si>
  <si>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</si>
  <si>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</si>
  <si>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</si>
  <si>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</si>
  <si>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</si>
  <si>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</si>
  <si>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</si>
  <si>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</si>
  <si>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</si>
  <si>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</si>
  <si>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</si>
  <si>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</si>
  <si>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</si>
  <si>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</si>
  <si>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</si>
  <si>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</si>
  <si>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</si>
  <si>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</si>
  <si>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</si>
  <si>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</si>
  <si>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</si>
  <si>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</si>
  <si>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</si>
  <si>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</si>
  <si>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</si>
  <si>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</si>
  <si>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</si>
  <si>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</si>
  <si>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</si>
  <si>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</si>
  <si>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</si>
  <si>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</si>
  <si>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</si>
  <si>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</si>
  <si>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</si>
  <si>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</si>
  <si>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</si>
  <si>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</si>
  <si>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</si>
  <si>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</si>
  <si>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</si>
  <si>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</si>
  <si>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</si>
  <si>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</si>
  <si>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</si>
  <si>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</si>
  <si>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</si>
  <si>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</si>
  <si>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</si>
  <si>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</si>
  <si>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</si>
  <si>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</si>
  <si>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</si>
  <si>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</si>
  <si>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</si>
  <si>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</si>
  <si>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</si>
  <si>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</si>
  <si>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</si>
  <si>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</si>
  <si>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</si>
  <si>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</si>
  <si>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</si>
  <si>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</si>
  <si>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</si>
  <si>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</si>
  <si>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</si>
  <si>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</si>
  <si>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</si>
  <si>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</si>
  <si>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</si>
  <si>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</si>
  <si>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</si>
  <si>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</si>
  <si>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</si>
  <si>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</si>
  <si>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</si>
  <si>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</si>
  <si>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</si>
  <si>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</si>
  <si>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</si>
  <si>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</si>
  <si>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</si>
  <si>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</si>
  <si>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</si>
  <si>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</si>
  <si>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</si>
  <si>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</si>
  <si>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</si>
  <si>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</si>
  <si>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</si>
  <si>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</si>
  <si>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</si>
  <si>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</si>
  <si>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</si>
  <si>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</si>
  <si>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</si>
  <si>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</si>
  <si>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</si>
  <si>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</si>
  <si>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</si>
  <si>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</si>
  <si>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</si>
  <si>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</si>
  <si>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</si>
  <si>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</si>
  <si>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</si>
  <si>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</si>
  <si>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</si>
  <si>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</si>
  <si>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</si>
  <si>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</si>
  <si>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</si>
  <si>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</si>
  <si>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</si>
  <si>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</si>
  <si>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</si>
  <si>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</si>
  <si>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</si>
  <si>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</si>
  <si>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</si>
  <si>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</si>
  <si>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</si>
  <si>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</si>
  <si>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</si>
  <si>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</si>
  <si>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</si>
  <si>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</si>
  <si>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</si>
  <si>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</si>
  <si>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</si>
  <si>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</si>
  <si>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</si>
  <si>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</si>
  <si>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</si>
  <si>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</si>
  <si>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</si>
  <si>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</si>
  <si>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</si>
  <si>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</si>
  <si>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</si>
  <si>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</si>
  <si>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</si>
  <si>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</si>
  <si>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</si>
  <si>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</si>
  <si>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</si>
  <si>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</si>
  <si>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</si>
  <si>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</si>
  <si>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</si>
  <si>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</si>
  <si>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</si>
  <si>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</si>
  <si>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</si>
  <si>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</si>
  <si>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</si>
  <si>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</si>
  <si>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</si>
  <si>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</si>
  <si>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</si>
  <si>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</si>
  <si>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</si>
  <si>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</si>
  <si>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</si>
  <si>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</si>
  <si>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</si>
  <si>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</si>
  <si>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</si>
  <si>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</si>
  <si>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</si>
  <si>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</si>
  <si>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</si>
  <si>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</si>
  <si>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</si>
  <si>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</si>
  <si>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</si>
  <si>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</si>
  <si>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</si>
  <si>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</si>
  <si>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</si>
  <si>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</si>
  <si>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</si>
  <si>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</si>
  <si>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</si>
  <si>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</si>
  <si>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</si>
  <si>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</si>
  <si>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</si>
  <si>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</si>
  <si>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</si>
  <si>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</si>
  <si>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</si>
  <si>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</si>
  <si>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</si>
  <si>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</si>
  <si>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</si>
  <si>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</si>
  <si>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</si>
  <si>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</si>
  <si>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</si>
  <si>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</si>
  <si>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</si>
  <si>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</si>
  <si>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</si>
  <si>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</si>
  <si>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</si>
  <si>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</si>
  <si>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</si>
  <si>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</si>
  <si>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</si>
  <si>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</si>
  <si>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</si>
  <si>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</si>
  <si>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</si>
  <si>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</si>
  <si>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</si>
  <si>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</si>
  <si>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</si>
  <si>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</si>
  <si>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</si>
  <si>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</si>
  <si>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</si>
  <si>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</si>
  <si>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</si>
  <si>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</si>
  <si>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</si>
  <si>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</si>
  <si>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</si>
  <si>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</si>
  <si>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</si>
  <si>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</si>
  <si>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</si>
  <si>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</si>
  <si>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</si>
  <si>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</si>
  <si>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</si>
  <si>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</si>
  <si>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</si>
  <si>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</si>
  <si>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</si>
  <si>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</si>
  <si>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</si>
  <si>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</si>
  <si>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</si>
  <si>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</si>
  <si>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</si>
  <si>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</si>
  <si>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</si>
  <si>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</si>
  <si>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</si>
  <si>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</si>
  <si>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</si>
  <si>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</si>
  <si>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</si>
  <si>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</si>
  <si>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</si>
  <si>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</si>
  <si>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</si>
  <si>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</si>
  <si>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</si>
  <si>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</si>
  <si>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</si>
  <si>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</si>
  <si>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</si>
  <si>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</si>
  <si>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</si>
  <si>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</si>
  <si>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</si>
  <si>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</si>
  <si>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</si>
  <si>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</si>
  <si>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</si>
  <si>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Il Direttore Amministrativo</t>
  </si>
  <si>
    <t>………………………………………………………………………..</t>
  </si>
  <si>
    <t>Il Direttore Generale</t>
  </si>
  <si>
    <t>Finanziamento indistinto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</si>
  <si>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</si>
  <si>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</si>
  <si>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</si>
  <si>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</si>
  <si>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</si>
  <si>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</si>
  <si>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</si>
  <si>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</si>
  <si>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</si>
  <si>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</si>
  <si>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</si>
  <si>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</si>
  <si>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</si>
  <si>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</si>
  <si>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</si>
  <si>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</si>
  <si>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</si>
  <si>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</si>
  <si>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</si>
  <si>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</si>
  <si>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</si>
  <si>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</si>
  <si>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</si>
  <si>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</si>
  <si>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</si>
  <si>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</si>
  <si>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</si>
  <si>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</si>
  <si>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</si>
  <si>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</si>
  <si>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</si>
  <si>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</si>
  <si>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</si>
  <si>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</si>
  <si>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</si>
  <si>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</si>
  <si>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</si>
  <si>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</si>
  <si>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</si>
  <si>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</si>
  <si>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</si>
  <si>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</si>
  <si>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</si>
  <si>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</si>
  <si>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</si>
  <si>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</si>
  <si>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</si>
  <si>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</si>
  <si>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</si>
  <si>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</si>
  <si>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</si>
  <si>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</si>
  <si>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</si>
  <si>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</si>
  <si>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</si>
  <si>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</si>
  <si>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</si>
  <si>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</si>
  <si>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</si>
  <si>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</si>
  <si>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</si>
  <si>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</si>
  <si>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</si>
  <si>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</si>
  <si>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</si>
  <si>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</si>
  <si>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</si>
  <si>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</si>
  <si>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</si>
  <si>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</si>
  <si>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</si>
  <si>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</si>
  <si>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</si>
  <si>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</si>
  <si>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</si>
  <si>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</si>
  <si>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</si>
  <si>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</si>
  <si>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</si>
  <si>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</si>
  <si>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</si>
  <si>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</si>
  <si>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</si>
  <si>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</si>
  <si>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</si>
  <si>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</si>
  <si>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</si>
  <si>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</si>
  <si>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</si>
  <si>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</si>
  <si>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</si>
  <si>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</si>
  <si>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</si>
  <si>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</si>
  <si>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</si>
  <si>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</si>
  <si>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</si>
  <si>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</si>
  <si>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</si>
  <si>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</si>
  <si>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</si>
  <si>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</si>
  <si>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</si>
  <si>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</si>
  <si>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</si>
  <si>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</si>
  <si>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</si>
  <si>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</si>
  <si>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</si>
  <si>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</si>
  <si>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</si>
  <si>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</si>
  <si>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</si>
  <si>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</si>
  <si>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</si>
  <si>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IVA indetraibile acquisti intercompany per medicinali con AIC</t>
  </si>
  <si>
    <t>IVA indetraibile acquisti intercompany per medicinali senza AIC</t>
  </si>
  <si>
    <t xml:space="preserve">IVA indetraibile acquisti intercompany per dispositivi medici </t>
  </si>
  <si>
    <t>IVA indetraibile acquisti intercompany per dispositivi medici impiantabili attivi</t>
  </si>
  <si>
    <t>IVA indetraibile acquisti intercompany per dispositivi medico diagnostici in vitro (IVD)</t>
  </si>
  <si>
    <t>IVA indetraibile acquisti intercompany per prodotti dietetici</t>
  </si>
  <si>
    <t>IVA indetraibile acquisti intercompany per materiali per la profilassi (vaccini)</t>
  </si>
  <si>
    <t>IVA indetraibile acquisti intercompany per prodotti chimici</t>
  </si>
  <si>
    <t>IVA indetraibile acquisti intercompany per materiali e prodotti per uso veterinario</t>
  </si>
  <si>
    <t>IVA indetraibile acquisti intercompany per altri beni e prodotti sanitari</t>
  </si>
  <si>
    <t>IVA indetraibile acquisti intercompany per prodotti alimentari</t>
  </si>
  <si>
    <t>IVA indetraibile acquisti intercompany per materiali di guardaroba, di pulizia e di convivenza in genere</t>
  </si>
  <si>
    <t>IVA indetraibile acquisti intercompany per combustibili, carburanti e lubrificanti</t>
  </si>
  <si>
    <t>IVA indetraibile acquisti intercompany per supporti informatici e cancelleria</t>
  </si>
  <si>
    <t>IVA indetraibile acquisti intercompany per materiali per manutenzione</t>
  </si>
  <si>
    <t>IVA indetraibile acquisti intercompany per altri beni e prodotti non sanitari</t>
  </si>
  <si>
    <t xml:space="preserve">Retribuzione di posizione personale sanitario universitario </t>
  </si>
  <si>
    <t>PERIODO DI RILEVAZIONE</t>
  </si>
  <si>
    <t xml:space="preserve">    PREVENTIVO</t>
  </si>
  <si>
    <t xml:space="preserve">SI </t>
  </si>
  <si>
    <t>Regione Friuli Venezia Giulia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</si>
  <si>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</si>
  <si>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</si>
  <si>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2</t>
  </si>
  <si>
    <t>AA0000</t>
  </si>
  <si>
    <t>A) Valore della produzione</t>
  </si>
  <si>
    <t>3</t>
  </si>
  <si>
    <t>A.1) Contributi in c/esercizio</t>
  </si>
  <si>
    <t>4</t>
  </si>
  <si>
    <t>A.1.A) Contributi da Regione o Prov. Aut. per quota F.S. regionale</t>
  </si>
  <si>
    <t>5</t>
  </si>
  <si>
    <t>A.1.A.1) da Regione o Prov. Aut. per quota F.S. regionale indistinto</t>
  </si>
  <si>
    <t>6</t>
  </si>
  <si>
    <t>7</t>
  </si>
  <si>
    <t>A.1.A.1.3.A) Funzioni - Pronto soccorso</t>
  </si>
  <si>
    <t>A.1.A.2) da Regione o Prov. Aut. per quota F.S. regionale vincolato</t>
  </si>
  <si>
    <t>A.1.B) Contributi c/esercizio (extra fondo)</t>
  </si>
  <si>
    <t>A.1.B.1) da Regione o Prov. Aut. (extra fondo)</t>
  </si>
  <si>
    <t>A.1.B.1.1) Contributi da Regione o Prov. Aut. (extra fondo) vincolati</t>
  </si>
  <si>
    <t>A.1.B.1.2) Contributi da Regione o Prov. Aut. (extra fondo) - Risorse aggiuntive da bilancio regionale a titolo di copertura LEA</t>
  </si>
  <si>
    <t>A.1.B.1.3) Contributi da Regione o Prov. Aut. (extra fondo) - Risorse aggiuntive da bilancio regionale a titolo di copertura extra LEA</t>
  </si>
  <si>
    <t>A.1.B.1.4) Contributi da Regione o Prov. Aut. (extra fondo) - Altro</t>
  </si>
  <si>
    <t>A.1.B.2) Contributi da Aziende sanitarie pubbliche della Regione o Prov. Aut. (extra fondo)</t>
  </si>
  <si>
    <t>A.1.B.2.1) Contributi da Aziende sanitarie pubbliche della Regione o Prov. Aut. (extra fondo) vincolati</t>
  </si>
  <si>
    <t>A.1.B.2.2) Contributi da Aziende sanitarie pubbliche della Regione o Prov. Aut. (extra fondo) altro</t>
  </si>
  <si>
    <t>A.1.B.3) Contributi da altri soggetti pubblici (extra fondo)</t>
  </si>
  <si>
    <t>A.1.B.3.5)  Contributi da altri soggetti pubblici (extra fondo) - in attuazione dell'art.79, comma 1 sexies lettera c), del D.L. 112/2008, convertito con legge 133/2008 e della legge 23 dicembre 2009, n. 191</t>
  </si>
  <si>
    <t>A.1.C) Contributi c/esercizio per ricerca</t>
  </si>
  <si>
    <t>A.1.C.1) Contributi da Ministero della Salute per ricerca corrente</t>
  </si>
  <si>
    <t>A.1.C.2) Contributi da Ministero della Salute per ricerca finalizzata</t>
  </si>
  <si>
    <t>A.1.C.3) Contributi da Regione ed altri soggetti pubblici per ricerca</t>
  </si>
  <si>
    <t>A.1.C.4) Contributi da privati per ricerca</t>
  </si>
  <si>
    <t>A.1.D) Contributi c/esercizio da privati</t>
  </si>
  <si>
    <t>A.2) Rettifica contributi c/esercizio per destinazione ad investimenti</t>
  </si>
  <si>
    <t>A.2.A) Rettifica contributi in c/esercizio per destinazione ad investimenti - da Regione o Prov. Aut. per quota F.S. regionale</t>
  </si>
  <si>
    <t>A.2.B) Rettifica contributi in c/esercizio per destinazione ad investimenti - altri contributi</t>
  </si>
  <si>
    <t>A.3) Utilizzo fondi per quote inutilizzate contributi vincolati di esercizi precedenti</t>
  </si>
  <si>
    <t>A.4) Ricavi per prestazioni sanitarie e sociosanitarie a rilevanza sanitaria</t>
  </si>
  <si>
    <t>A.4.A) Ricavi per prestazioni sanitarie e sociosanitarie a rilevanza sanitaria erogate a soggetti pubblici</t>
  </si>
  <si>
    <t>A.4.A.1) Ricavi per prestaz. sanitarie e sociosanitarie a rilevanza sanitaria erogate ad Aziende sanitarie pubbliche della Regione</t>
  </si>
  <si>
    <t>Rimborso per prestazioni fatturate in regime di ricovero - Az. sanitarie pubb. della Regione</t>
  </si>
  <si>
    <t>Rimborso per prestazioni ambulatoriali e diagnostiche fatturate  - Az. sanitarie pubb. della Regione</t>
  </si>
  <si>
    <t>Prestazioni di pronto soccorso non seguite da ricovero - Az. sanitarie pubb. della Regione</t>
  </si>
  <si>
    <t>Prestazioni di psichiatria residenziale e semiresidenziale - Az. sanitarie pubb. della Regione</t>
  </si>
  <si>
    <t>Prestazioni di File F  - Az. sanitarie pubb. della Regione</t>
  </si>
  <si>
    <t>Prestazioni servizi MMG, PLS, Contin. Assistenziale  - Az. sanitarie pubb. della Regione</t>
  </si>
  <si>
    <t>Prestazioni servizi farmaceutica convenzionata  - Az. sanitarie pubb. della Regione</t>
  </si>
  <si>
    <t>Prestazioni termali  - Az. sanitarie pubb. della Regione</t>
  </si>
  <si>
    <t>Prestazioni trasporto ambulanze ed elisoccorso - Az. sanitarie pubb. della Regione</t>
  </si>
  <si>
    <t>Prestazioni assistenza integrativa - Az. sanitarie pubb. della Regione</t>
  </si>
  <si>
    <t>Prestazioni assistenza protesica - Az. sanitarie pubb. della Regione</t>
  </si>
  <si>
    <t>Prestazioni assistenza riabilitativa extraospedaliera - Az. sanitarie pubb. della Regione</t>
  </si>
  <si>
    <t>Ricavi per cessione di emocomponenti e cellule staminali - Az. sanitarie pubb. della Regione</t>
  </si>
  <si>
    <t>Prestazioni assistenza domiciliare integrata (ADI) - Az. sanitarie pubb. della Regione</t>
  </si>
  <si>
    <t>Consulenze sanitarie  - Az. sanitarie pubb. della Regione</t>
  </si>
  <si>
    <t>Altre prestazioni sanitarie e socio-sanitarie a rilevanza sanitaria  - Az. sanitarie pubb. della Regione</t>
  </si>
  <si>
    <t>A.4.A.2) Ricavi per prestaz. sanitarie e sociosanitarie a rilevanza sanitaria erogate ad altri soggetti pubblici</t>
  </si>
  <si>
    <t>Prestazioni di pronto soccorso non seguite da ricovero -  a soggetti pubblici Extraregione</t>
  </si>
  <si>
    <t>Prestazioni di psichiatria ad extraregione non soggetta a compensazione (resid. e semiresid.)</t>
  </si>
  <si>
    <t>Prestazioni di File F - a soggetti pubblici Extraregione</t>
  </si>
  <si>
    <t>8</t>
  </si>
  <si>
    <t>Consulenze sanitarie a compensazione Extraregione</t>
  </si>
  <si>
    <t>Rimborso per prestazioni fatturate in regime di ricovero extraregione</t>
  </si>
  <si>
    <t>Rimborso per prestazioni ambulatoriali e diagnostiche fatturate extraregione</t>
  </si>
  <si>
    <t>A.4.B) Ricavi per prestazioni sanitarie e sociosanitarie a rilevanza sanitaria erogate da privati v/residenti Extraregione in compensazione (mobilità attiva)</t>
  </si>
  <si>
    <t>A.4.B.1) Prestazioni di ricovero da priv. Extraregione in compensazione (mobilità attiva)</t>
  </si>
  <si>
    <t>A.4.B.2) Prestazioni ambulatoriali da priv. Extraregione in compensazione (mobilità attiva)</t>
  </si>
  <si>
    <t>A.4.B.3)  Prestazioni di pronto soccorso non seguite da ricovero da priv. Extraregione in compensazione  (mobilità attiva)</t>
  </si>
  <si>
    <t>Prestazioni di pronto soccorso non seguite da ricovero da priv. Extraregione in compensazione (mobilità attiva)</t>
  </si>
  <si>
    <t>A.4.B.4) Prestazioni di File F da priv. Extraregione in compensazione (mobilità attiva)</t>
  </si>
  <si>
    <t>A.4.C) Ricavi per prestazioni sanitarie e sociosanitarie a rilevanza sanitaria erogate a privati</t>
  </si>
  <si>
    <t>Prestazioni amministrative e gestionali a privati</t>
  </si>
  <si>
    <t>A.4.D) Ricavi per prestazioni sanitarie erogate in regime di intramoenia</t>
  </si>
  <si>
    <t>A.4.D.1) Ricavi per prestazioni sanitarie intramoenia - Area ospedaliera</t>
  </si>
  <si>
    <t>A.4.D.2) Ricavi per prestazioni sanitarie intramoenia - Area specialistica</t>
  </si>
  <si>
    <t>A.4.D.3) Ricavi per prestazioni sanitarie intramoenia - Area sanità pubblica</t>
  </si>
  <si>
    <t>A.4.D.4) Ricavi per prestazioni sanitarie intramoenia - Consulenze (ex art. 55 c.1 lett. c), d) ed ex art. 57-58)</t>
  </si>
  <si>
    <t>A.4.D.5) Ricavi per prestazioni sanitarie intramoenia - Consulenze (ex art. 55 c.1 lett. c), d) ed ex art. 57-58) (Aziende sanitarie pubbliche della Regione)</t>
  </si>
  <si>
    <t>A.4.D.6) Ricavi per prestazioni sanitarie intramoenia - Altro</t>
  </si>
  <si>
    <t>A.4.D.7) Ricavi per prestazioni sanitarie intramoenia - Altro (Aziende sanitarie pubbliche della Regione)</t>
  </si>
  <si>
    <t>Prestazioni amministrative e gestionali - Az. sanitarie pubb. della Regione</t>
  </si>
  <si>
    <t>Consulenze non sanitarie  - Az. sanitarie pubb. della Regione</t>
  </si>
  <si>
    <t>Altri concorsi, recuperi e rimborsi  - Az. sanitarie pubb. della Regione</t>
  </si>
  <si>
    <t>A.6) Compartecipazione alla spesa per prestazioni sanitarie (Ticket)</t>
  </si>
  <si>
    <t>A.6.A) Compartecipazione alla spesa per prestazioni sanitarie - Ticket sulle prestazioni di specialistica ambulatoriale</t>
  </si>
  <si>
    <t>A.6.B) Compartecipazione alla spesa per prestazioni sanitarie - Ticket sul pronto soccorso</t>
  </si>
  <si>
    <t>A.6.C) Compartecipazione alla spesa per prestazioni sanitarie (Ticket) - Altro</t>
  </si>
  <si>
    <t>A.7) Quota contributi c/capitale imputata all'esercizio</t>
  </si>
  <si>
    <t>A.7.B) Quota imputata all'esercizio dei finanziamenti per investimenti da Regione</t>
  </si>
  <si>
    <t>A.7.C) Quota imputata all'esercizio dei finanziamenti per beni di prima dotazione</t>
  </si>
  <si>
    <t>A.8) Incrementi delle immobilizzazioni per lavori interni</t>
  </si>
  <si>
    <t>CONTO</t>
  </si>
  <si>
    <t>BA0000</t>
  </si>
  <si>
    <t>B) Costi della produzione</t>
  </si>
  <si>
    <t>B.1) Acquisti di beni</t>
  </si>
  <si>
    <t>B.1.A) Acquisti di beni sanitari</t>
  </si>
  <si>
    <t>B.1.A.1) Prodotti farmaceutici ed emoderivati</t>
  </si>
  <si>
    <t>B.1.A.1.1) Medicinali con AIC, ad eccezione di vaccini ed emoderivati di produzione regionale</t>
  </si>
  <si>
    <t>B.1.A.1.4.2) Emoderivati di produzione regionale da pubblico (Aziende sanitarie pubbliche extra Regione) - Mobilità extraregionale</t>
  </si>
  <si>
    <t>B.1.A.2) Sangue ed emocomponenti</t>
  </si>
  <si>
    <t>Sangue e emocomp. da pubblico (Aziende sanitarie pubbliche della Regione) – Mobilità intraregionale</t>
  </si>
  <si>
    <t>Sangue e emocomp. da pubblico (Aziende sanitarie pubbliche extra Regione) – Mobilità extraregionale</t>
  </si>
  <si>
    <t>B.1.A.3.1) Dispositivi medici</t>
  </si>
  <si>
    <t>B.1.A.3.2) Dispositivi medici impiantabili attivi</t>
  </si>
  <si>
    <t>B.1.A.3.3) Dispositivi medico diagnostici in vitro (IVD)</t>
  </si>
  <si>
    <t>B.1.A.4) Prodotti dietetici</t>
  </si>
  <si>
    <t>B.1.A.5) Materiali per la profilassi (vaccini)</t>
  </si>
  <si>
    <t>B.1.A.6) Prodotti chimici</t>
  </si>
  <si>
    <t>B.1.A.7) Materiali e prodotti per uso veterinario</t>
  </si>
  <si>
    <t>B.1.A.8) Altri beni e prodotti sanitari</t>
  </si>
  <si>
    <t>B.1.A.9) Beni e prodotti sanitari da Aziende sanitarie pubbliche della Regione</t>
  </si>
  <si>
    <t>Medicinali con AIC, ad eccezione di vaccini ed emoderivati di produzione regionale  - Az. sanitarie pubb. della Regione</t>
  </si>
  <si>
    <t>Medicinali senza AIC - Az. sanitarie pubb. della Regione</t>
  </si>
  <si>
    <t>Emoderivati di produzione regionale - Az. sanitarie pubb. della Regione</t>
  </si>
  <si>
    <t>Dispositivi medici  - Az. sanitarie pubb. della Regione</t>
  </si>
  <si>
    <t>Dispositivi medici impiantabili attivi - Az. sanitarie pubb. della Regione</t>
  </si>
  <si>
    <t>Dispositivi medico diagnostici in vitro (IVD) - Az. sanitarie pubb. della Regione</t>
  </si>
  <si>
    <t>Prodotti dietetici - Az. sanitarie pubb. della Regione</t>
  </si>
  <si>
    <t>Materiali per la profilassi (vaccini) - Az. sanitarie pubb. della Regione</t>
  </si>
  <si>
    <t>Prodotti chimici - Az. sanitarie pubb. della Regione</t>
  </si>
  <si>
    <t>Materiali e prodotti per uso veterinario - Az. sanitarie pubb. della Regione</t>
  </si>
  <si>
    <t>Altri beni e prodotti sanitari  - Az. sanitarie pubb. della Regione</t>
  </si>
  <si>
    <t>B.1.B) Acquisti di beni non sanitari</t>
  </si>
  <si>
    <t>B.1.B.1) Prodotti alimentari</t>
  </si>
  <si>
    <t>B.1.B.2) Materiali di guardaroba, di pulizia e di convivenza in genere</t>
  </si>
  <si>
    <t>B.1.B.3) Combustibili, carburanti e lubrificanti</t>
  </si>
  <si>
    <t>B.1.B.4) Supporti informatici e cancelleria</t>
  </si>
  <si>
    <t>B.1.B.5) Materiale per la manutenzione</t>
  </si>
  <si>
    <t>B.1.B.6) Altri beni e prodotti non sanitari</t>
  </si>
  <si>
    <t>B.1.B.7) Beni e prodotti non sanitari da Aziende sanitarie pubbliche della Regione</t>
  </si>
  <si>
    <t>Prodotti alimentari - Az. sanitarie pubb. della Regione</t>
  </si>
  <si>
    <t>Materiali di guardaroba, di pulizia e di convivenza in genere - Az. sanitarie pubb. della Regione</t>
  </si>
  <si>
    <t>Combustibili, carburanti e lubrificanti - Az. sanitarie pubb. della Regione</t>
  </si>
  <si>
    <t>Supporti informatici e cancelleria - Az. sanitarie pubb. della Regione</t>
  </si>
  <si>
    <t>Materiale per la manutenzione - Az. sanitarie pubb. della Regione</t>
  </si>
  <si>
    <t>Altri beni e prodotti non sanitari  - Az. sanitarie pubb. della Regione</t>
  </si>
  <si>
    <t>B.2) Acquisti di servizi</t>
  </si>
  <si>
    <t>B.2.A) Acquisti servizi sanitari</t>
  </si>
  <si>
    <t>B.2.A.1) Acquisti servizi sanitari per medicina di base</t>
  </si>
  <si>
    <t>Quota capitaria nazionale MMG</t>
  </si>
  <si>
    <t>Compensi da fondo ponderazione MMG</t>
  </si>
  <si>
    <t>Compensi da fondo qualità dell'assistenza MMG</t>
  </si>
  <si>
    <t>Compensi da fondo quota capitaria regionale MMG</t>
  </si>
  <si>
    <t>Compensi extra derivanti da accordi nazionali MMG</t>
  </si>
  <si>
    <t>Compensi da accordi regionali MMG</t>
  </si>
  <si>
    <t>Compensi da accordi aziendali MMG</t>
  </si>
  <si>
    <t>Premi assicurativi malattia MMG</t>
  </si>
  <si>
    <t>Formazione MMG</t>
  </si>
  <si>
    <t>Altre competenze MMG</t>
  </si>
  <si>
    <t>Oneri sociali MMG</t>
  </si>
  <si>
    <t>Quota capitaria nazionale PLS</t>
  </si>
  <si>
    <t>Compensi da fondo ponderazione PLS</t>
  </si>
  <si>
    <t>Compensi da fondo qualità dell'assistenza PLS</t>
  </si>
  <si>
    <t>Compensi da fondo quota capitaria regionale PLS</t>
  </si>
  <si>
    <t>Compensi extra derivanti da accordi nazionali PLS</t>
  </si>
  <si>
    <t>Compensi da accordi regionali PLS</t>
  </si>
  <si>
    <t>Compensi da accordi aziendali PLS</t>
  </si>
  <si>
    <t>Premi assicurativi malattia PLS</t>
  </si>
  <si>
    <t>Formazione PLS</t>
  </si>
  <si>
    <t>Altre competenze PLS</t>
  </si>
  <si>
    <t>Oneri sociali PLS</t>
  </si>
  <si>
    <t xml:space="preserve">Altri compensi Conv. per emergenza sanitaria territoriale </t>
  </si>
  <si>
    <t>Compensi fissi altro personale sanitario convenzionato</t>
  </si>
  <si>
    <t>Compensi da fondo ponderazione altro personale sanitario convenzionato</t>
  </si>
  <si>
    <t>Compensi extra derivanti da accordi nazionali altro personale sanitario convenzionato</t>
  </si>
  <si>
    <t>Compensi da accordi regionali altro personale sanitario convenzionato</t>
  </si>
  <si>
    <t>Compensi da accordi aziendali altro personale sanitario convenzionato</t>
  </si>
  <si>
    <t>Altre competenze altro personale sanitario convenzionato</t>
  </si>
  <si>
    <t>Oneri sociali altro personale sanitario convenzionato</t>
  </si>
  <si>
    <t>Servizi sanitari per medicina di base da pubblico (Aziende sanitarie pubbliche della Regione) - Mobilità intraregionale</t>
  </si>
  <si>
    <t>Servizi sanitari per medicina di base da pubblico (Aziende sanitarie pubbliche Extraregione) - Mobilità extraregionale</t>
  </si>
  <si>
    <t>B.2.A.2) Acquisti servizi sanitari per farmaceutica</t>
  </si>
  <si>
    <t>Servizi sanitari per farmaceutica da pubblico (Aziende sanitarie pubbliche della Regione)- Mobilità intraregionale</t>
  </si>
  <si>
    <t>Servizi sanitari per farmaceuticada pubblico (Extraregione)</t>
  </si>
  <si>
    <t>B.2.A.3) Acquisti servizi sanitari per assistenza specialistica ambulatoriale</t>
  </si>
  <si>
    <t>B.2.A.3.2) Prestazioni di pronto soccorso non seguite da ricovero - da pubblico (Aziende sanitarie pubbliche della Regione)</t>
  </si>
  <si>
    <t>B.2.A.3.3) - da pubblico (altri soggetti pubbl. della Regione), ad eccezione delle somministrazionidi farmaci e dispositivi ad alto costoin trattamento</t>
  </si>
  <si>
    <t>Servizi sanitari per assistenza specialistica ambulatoriale da pubblico (altri soggetti pubbl. della Regione)</t>
  </si>
  <si>
    <t>B.2.A.3.4) Prestazioni di pronto soccorso non seguite da ricovero - da pubblico (altri soggetti pubbl. della Regione)</t>
  </si>
  <si>
    <t>B.2.A.3.6) - Prestazioni di pronto soccorso non seguite da ricovero - da pubblico (Extraregione)</t>
  </si>
  <si>
    <t>Compensi fissi medici SUMAI</t>
  </si>
  <si>
    <t>Compendi da fondo ponderazione medici SUMAI</t>
  </si>
  <si>
    <t>Compensi extra derivanti da accordi nazionali medici SUMAI</t>
  </si>
  <si>
    <t>Compensi da accordi regionali medici SUMAI</t>
  </si>
  <si>
    <t>Compensi da accordi aziendali medici SUMAI</t>
  </si>
  <si>
    <t>Altre competenze medici SUMAI</t>
  </si>
  <si>
    <t>Oneri sociali medici SUMAI</t>
  </si>
  <si>
    <t>B.2.A.3.8.B) Servizi sanitari per prestazioni di pronto soccorso non seguite da ricovero da IRCCS privati e Policlinici privati</t>
  </si>
  <si>
    <t>Servizi sanitari per prestazioni di pronto soccorso non seguite da ricovero - da IRCCS privati e Policlinici privati</t>
  </si>
  <si>
    <t>B.2.A.3.8.D) Servizi sanitari per prestazioni di pronto soccorso non seguite da ricovero da Ospedali Classificati privati</t>
  </si>
  <si>
    <t>B.2.A.3.8.F) Servizi sanitari per prestazioni di pronto soccorso non seguite da ricovero da Case di Cura private</t>
  </si>
  <si>
    <t>B.2.A.3.8.H) Servizi sanitari per prestazioni di pronto soccorso non seguite da ricovero da altri privati</t>
  </si>
  <si>
    <t>Servizi sanitari per ass. spec. ambulatoriale da privato per cittadini non residenti - Extraregione (mobilità attiva in compensazione)</t>
  </si>
  <si>
    <t>B.2.A.3.10) - Servizi sanitari per prestazioni di pronto soccorso non seguite da ricovero - da privato per cittadini non residenti - Extraregione (mobilità attiva in compensazione)</t>
  </si>
  <si>
    <t>B.2.A.4) Acquisti servizi sanitari per assistenza riabilitativa</t>
  </si>
  <si>
    <t>Servizi sanitari per assistenza riabilitativa da pubblico (Aziende sanitarie pubbliche della Regione)</t>
  </si>
  <si>
    <t>Servizi sanitari per assistenza riabilitativa da pubblico (altri soggetti pubbl. della Regione)</t>
  </si>
  <si>
    <t>Servizi sanitari per assistenza riabilitativada pubblico (Extraregione) non soggetti a compensazione</t>
  </si>
  <si>
    <t>Assistenza riabilitativa ex art.26 L.833/78 - in regime di ricovero da privato (intraregionale)</t>
  </si>
  <si>
    <t>Assistenza riabilitativa ex art.26 L.833/78 - in regime ambulatoriale da privato (intraregionale)</t>
  </si>
  <si>
    <t>Assistenza riabilitativa ex art.26 L.833/78 - in regime di ricovero da privato (extraregionale)</t>
  </si>
  <si>
    <t>Assistenza riabilitativa ex art.26 L.833/78 - in regime ambulatoriale da privato (extraregionale)</t>
  </si>
  <si>
    <t>B.2.A.5) Acquisti servizi sanitari per assistenza integrativa</t>
  </si>
  <si>
    <t>Servizi sanitari per assistenza integrativa da pubblico (Aziende sanitarie pubbliche della Regione)</t>
  </si>
  <si>
    <t>Servizi sanitari per assistenza integrativa da pubblico (altri soggetti pubbl. della Regione)</t>
  </si>
  <si>
    <t>Servizi sanitari per assistenza integrativa da pubblico (Extraregione)</t>
  </si>
  <si>
    <t>B.2.A.6) Acquisti servizi sanitari per assistenza protesica</t>
  </si>
  <si>
    <t>Servizi sanitari per assistenza protesica da pubblico (Aziende sanitarie pubbliche della Regione)</t>
  </si>
  <si>
    <t>Servizi sanitari per assistenza protesica da pubblico (altri soggetti pubbl. della Regione)</t>
  </si>
  <si>
    <t>Servizi sanitari per assistenza protesica da pubblico (Extraregione)</t>
  </si>
  <si>
    <t>B.2.A.7) Acquisti servizi sanitari per assistenza ospedaliera</t>
  </si>
  <si>
    <t>Acquisto di prestazioni in regime di ricovero (DRG) da pubblico (altri soggetti pubbl. della Regione)</t>
  </si>
  <si>
    <t>Servizi sanitari per ass. osped. da privato per cittadini non residenti - Extraregione (mobilità attiva in compensazione)</t>
  </si>
  <si>
    <t>B.2.A.8) Acquisto prestazioni di psichiatria residenziale e semiresidenziale</t>
  </si>
  <si>
    <t>Prestazioni di psichiatria resid. e semiresid. da pubblico (Aziende sanitarie pubbliche della Regione)</t>
  </si>
  <si>
    <t>Prestazioni di psichiatria resid. e semiresid. da pubblico (altri soggetti pubbl. della Regione)</t>
  </si>
  <si>
    <t>Prestazioni di psichiatria resid. e semiresid. da pubblico (Extraregione) - non soggette a compensazione</t>
  </si>
  <si>
    <t>Prestazioni di psichiatria resid. e semiresid. da privato (intraregionale)</t>
  </si>
  <si>
    <t>Prestazioni di psichiatria resid. e semiresid.  da privato (extraregionale)</t>
  </si>
  <si>
    <t>B.2.A.9) Acquisto prestazioni di distribuzione farmaci File F</t>
  </si>
  <si>
    <t>Prestazioni di distribuzione farmaci File F da pubblico (altri soggetti pubbl. della Regione)</t>
  </si>
  <si>
    <t>Prestazioni di distribuzione farmaci File F da pubblico (Extraregione)</t>
  </si>
  <si>
    <t>Prestazioni di distribuzione farmaci File F da privato (extraregionale)</t>
  </si>
  <si>
    <t>Prestazioni di distribuzione farmaci File F da privato per cittadini non residenti - Extraregione (mobilità attiva in compensazione)</t>
  </si>
  <si>
    <t>B.2.A.10) Acquisto prestazioni termali in convenzione</t>
  </si>
  <si>
    <t>Prestazioni termali in convenzione da pubblico (Aziende sanitarie pubbliche della Regione) - Mobilità intraregionale</t>
  </si>
  <si>
    <t>Prestazioni termali in convenzione da pubblico (altri soggetti pubbl. della Regione)</t>
  </si>
  <si>
    <t>Prestazioni termali in convenzione da pubblico (Extraregione)</t>
  </si>
  <si>
    <t>Prestazioni termali in convenzione da privato</t>
  </si>
  <si>
    <t>Prestazioni termali in convenzione da privato per cittadini non residenti - Extraregione (mobilità attiva in compensazione)</t>
  </si>
  <si>
    <t>B.2.A.11) Acquisto prestazioni di trasporto sanitario</t>
  </si>
  <si>
    <t>Prestazioni di trasporto sanitario da pubblico (Aziende sanitarie pubbliche della Regione) - Mobilità intraregionale</t>
  </si>
  <si>
    <t>Prestazioni di trasporto sanitario da pubblico (altri soggetti pubbl. della Regione)</t>
  </si>
  <si>
    <t>Prestazioni di trasporto sanitario da pubblico (Extraregione)</t>
  </si>
  <si>
    <t>B.2.A.12) Acquisto prestazioni Socio-Sanitarie a rilevanza sanitaria</t>
  </si>
  <si>
    <t>B.2.A.12.1.A) Assistenza domiciliare integrata</t>
  </si>
  <si>
    <t>Altre prestazioni socio-sanitarie a rilevanza sanitaria</t>
  </si>
  <si>
    <t>RSA esterne (altri soggetti pubblici della Regione)</t>
  </si>
  <si>
    <t>Rimborso per ass. san. in strutture resid. e semi resid. per anziani (altri soggetti pubblici della Regione)</t>
  </si>
  <si>
    <t>Abbattimento rette anziani non autosufficienti (altri soggetti pubblici della Regione)</t>
  </si>
  <si>
    <t>Acquisto di Altre prestazioni sociosanitarie a rilevanza sanitaria erogate a soggetti pubblici Extraregione  - da pubblico  (Extraregione)</t>
  </si>
  <si>
    <t>Acquisto di Altre prestazioni sociosanitarie a rilevanza sanitaria erogate a soggetti pubblici (Extraregione) non soggette a compensazione</t>
  </si>
  <si>
    <t>Assist. riabilitativa residenziale e integrativa territoriale per tossicodipendenti da privato (intraregionale)</t>
  </si>
  <si>
    <t>Assist. riabilitativa residenziale e integrativa territoriale per tossicodipendenti da privato (extraregionale)</t>
  </si>
  <si>
    <t>B.2.A.13) Compartecipazione al personale per att. libero-prof. (intramoenia)</t>
  </si>
  <si>
    <t>B.2.A.13.1) Compartecipazione al personale per att. libero professionale intramoenia - Area ospedaliera</t>
  </si>
  <si>
    <t>B.2.A.13.2) Compartecipazione al personale per att. libero professionale intramoenia- Area specialistica</t>
  </si>
  <si>
    <t>B.2.A.13.3) Compartecipazione al personale per att. libero professionale intramoenia - Area sanità pubblica</t>
  </si>
  <si>
    <t>B.2.A.13.4) Compartecipazione al personale per att. libero professionale intramoenia - Consulenze (ex art. 55 c.1 lett. c), d) ed ex Art. 57-58)</t>
  </si>
  <si>
    <t>Oneri su compartecipazione al  personale Dirigenza  med-vet-san. e delle prof. sanitarie per att. libero  professionale intramoenia - Altro</t>
  </si>
  <si>
    <t>B.2.A.13.5) Compartecipazione al personale per att. libero professionale intramoenia - Consulenze (ex art. 55 c.1 lett. c), d) ed ex Art. 57-58) (Aziende sanitarie pubbliche della Regione)</t>
  </si>
  <si>
    <t>Consulenze a favore di terzi, rimborsate Dirigenza medica e veterinaria (Aziende sanitarie pubbliche della Regione)</t>
  </si>
  <si>
    <t>Consulenze a favore di terzi, rimborsate Dirigenza sanitaria e delle professioni sanitarie (Aziende sanitarie pubbliche della Regione)</t>
  </si>
  <si>
    <t>Consulenze a favore di terzi, rimborsate Dirigenza medica universitaria (Aziende sanitarie pubbliche della Regione)</t>
  </si>
  <si>
    <t>Oneri su compart. al  personale Dirigenza  med-vet-san. e delle prof. sani. per att. libero  professionale intramoenia - Altro (Aziende sanitarie pubbliche della Regione)</t>
  </si>
  <si>
    <t>B.2.A.13.6) Compartecipazione al personale per att. libero professionale intramoenia - Altro</t>
  </si>
  <si>
    <t>Consulenze a favore di terzi, rimborsate Dirigenza ruolo tecnico</t>
  </si>
  <si>
    <t>Consulenze a favore di terzi, rimborsate Dirigenza ruolo amministrativo</t>
  </si>
  <si>
    <t>Consulenze a favore di terzi, rimborsate Comparto ruolo amministrativo</t>
  </si>
  <si>
    <t>B.2.A.13.7) Compartecipazione al personale per att. libero professionale intramoenia - Altro (Aziende sanitarie pubbliche della Regione)</t>
  </si>
  <si>
    <t>Consulenze a favore di terzi, rimborsate Dirigenza ruolo professionale  (Aziende sanitarie pubbliche della Regione)</t>
  </si>
  <si>
    <t>Consulenze a favore di terzi, rimborsate Dirigenza ruolo tecnico  (Aziende sanitarie pubbliche della Regione)</t>
  </si>
  <si>
    <t>Consulenze a favore di terzi, rimborsate Dirigenza ruolo amministrativo  (Aziende sanitarie pubbliche della Regione)</t>
  </si>
  <si>
    <t>Consulenze a favore di terzi, rimborsate Comparto ruolo sanitario (Aziende sanitarie pubbliche della Regione)</t>
  </si>
  <si>
    <t>Consulenze a favore di terzi, rimborsate Comparto ruolo professionale (Aziende sanitarie pubbliche della Regione)</t>
  </si>
  <si>
    <t>Consulenze a favore di terzi, rimborsate Comparto ruolo tecnico (Aziende sanitarie pubbliche della Regione)</t>
  </si>
  <si>
    <t>Consulenze a favore di terzi, rimborsate Comparto ruolo amministrativo (Aziende sanitarie pubbliche della Regione)</t>
  </si>
  <si>
    <t>B.2.A.14) Rimborsi, assegni e contributi sanitari</t>
  </si>
  <si>
    <t>B.2.A.14.1) Contributi ad associazioni di volontariato</t>
  </si>
  <si>
    <t>B.2.A.14.2) Rimborsi per cure all'estero</t>
  </si>
  <si>
    <t>B.2.A.14.3) Contributi a società partecipate e/o enti dipendenti della Regione</t>
  </si>
  <si>
    <t>B.2.A.14.4) Contributo Legge 210/92</t>
  </si>
  <si>
    <t>B.2.A.14.5) Altri rimborsi, assegni e contributi</t>
  </si>
  <si>
    <t>B.2.A.14.6) Rimborsi, assegni e contributi v/Aziende sanitarie pubbliche della Regione</t>
  </si>
  <si>
    <t>B.2.A.15) Consulenze, Collaborazioni, Interinale e altre prestazioni di lavoro sanitarie e sociosanitarie</t>
  </si>
  <si>
    <t>B.2.A.15.1) Consulenze sanitarie e sociosan. da Aziende sanitarie pubbliche della Regione</t>
  </si>
  <si>
    <t>B.2.A.15.2) Consulenze sanitarie e sociosanit. da terzi - Altri soggetti pubblici</t>
  </si>
  <si>
    <t>B.2.A.15.3) Consulenze, Collaborazioni, Interinale e altre prestazioni di lavoro sanitarie e socios. da privato</t>
  </si>
  <si>
    <t>B.2.A.15.3.C) Collaborazioni coordinate e continuative sanitarie e socios. da privato</t>
  </si>
  <si>
    <t>B.2.A.15.3.D) Indennità a personale universitario - area sanitaria</t>
  </si>
  <si>
    <t xml:space="preserve">Indennità personale sanitario universitario </t>
  </si>
  <si>
    <t xml:space="preserve">Retribuzione di risultato personale sanitario universitario </t>
  </si>
  <si>
    <t xml:space="preserve">Condizioni di lavoro personale personale sanitario universitario </t>
  </si>
  <si>
    <t>Altri compensi personale sanitario universitario</t>
  </si>
  <si>
    <t xml:space="preserve">Oneri sociali personale sanitario universitario </t>
  </si>
  <si>
    <t>B.2.A.15.3.E) Lavoro interinale - area sanitaria</t>
  </si>
  <si>
    <t>Lavoro interinale - area sanitaria</t>
  </si>
  <si>
    <t>B.2.A.15.3.F) Altre collaborazioni e prestazioni di lavoro - area sanitaria</t>
  </si>
  <si>
    <t>Oneri sociali su altre collaborazioni e prestazioni di lavoro - area sanitaria</t>
  </si>
  <si>
    <t>B.2.A.16.1) Altri servizi sanitari e sociosanitari a rilevanza sanitaria da pubblico - Aziende sanitarie pubbliche della Regione</t>
  </si>
  <si>
    <t>B.2.A.16.2) Altri servizi sanitari e sociosanitari a rilevanza sanitaria da pubblico - Altri soggetti pubblici della Regione</t>
  </si>
  <si>
    <t>B.2.A.16.4) Altri servizi sanitari da privato</t>
  </si>
  <si>
    <t>B.2.A.16.5) Costi per servizi sanitari - Mobilità internazionale passiva</t>
  </si>
  <si>
    <t>B.2.A.16.7)   Costi per prestazioni sanitarie erogate da aziende sanitarie estere (fatturate direttamente)</t>
  </si>
  <si>
    <t>B.2.B.1) Servizi non sanitari</t>
  </si>
  <si>
    <t>B.2.B.1.1) Lavanderia</t>
  </si>
  <si>
    <t>B.2.B.1.2) Pulizia</t>
  </si>
  <si>
    <t>B.2.B.1.3) Mensa</t>
  </si>
  <si>
    <t>B.2.B.1.4) Riscaldamento</t>
  </si>
  <si>
    <t>B.2.B.1.5) Servizi di assistenza informatica</t>
  </si>
  <si>
    <t>B.2.B.1.6) Servizi trasporti (non sanitari)</t>
  </si>
  <si>
    <t>B.2.B.1.7) Smaltimento rifiuti</t>
  </si>
  <si>
    <t>B.2.B.1.8) Utenze telefoniche</t>
  </si>
  <si>
    <t>B.2.B.1.9) Utenze elettricità</t>
  </si>
  <si>
    <t>B.2.B.1.10) Altre utenze</t>
  </si>
  <si>
    <t>B.2.B.1.11) Premi di assicurazione</t>
  </si>
  <si>
    <t>B.2.B.1.11.A) Premi di assicurazione - R.C. Professionale</t>
  </si>
  <si>
    <t>Premi di assicurazione - R.C. Professionale</t>
  </si>
  <si>
    <t>B.2.B.1.11.B) Premi di assicurazione - Altri premi assicurativi</t>
  </si>
  <si>
    <t>B.2.B.2) Consulenze, Collaborazioni, Interinale e altre prestazioni di lavoro non sanitarie</t>
  </si>
  <si>
    <t>B.2.B.2.3.C) Indennità a personale universitario - area non sanitaria</t>
  </si>
  <si>
    <t>Indennità a personale universitario - area non sanitaria</t>
  </si>
  <si>
    <t>B.2.B.2.3.D) Lavoro interinale - area non sanitaria</t>
  </si>
  <si>
    <t>Lavoro interinale - area non sanitaria</t>
  </si>
  <si>
    <t>B.2.B.2.3.E) Altre collaborazioni e prestazioni di lavoro - area non sanitaria</t>
  </si>
  <si>
    <t>Altre collaborazioni e prestazioni di lavoro - area non sanitaria</t>
  </si>
  <si>
    <t>B.2.B.2.3.F) Altre Consulenze non sanitarie da privato - in attuazione dell'art.79, comma 1 sexies lettera c), del D.L. 112/2008, convertito con legge 133/2008 e della legge 23 dicembre 2009 n. 191.</t>
  </si>
  <si>
    <t>Altre Consulenze non sanitarie da privato - in attuazione dell'art.79, comma 1 sexies lettera c), del D.L. 112/2008, convertito con legge 133/2008 e della legge 23 dicembre 2009 n. 191.</t>
  </si>
  <si>
    <t>B.3) Manutenzione e riparazione (ordinaria esternalizzata)</t>
  </si>
  <si>
    <t>B.3.A) Manutenzione e riparazione ai fabbricati e loro pertinenze</t>
  </si>
  <si>
    <t>B.3.B) Manutenzione e riparazione agli impianti e macchinari</t>
  </si>
  <si>
    <t>B.3.C) Manutenzione e riparazione alle attrezzature sanitarie e scientifiche</t>
  </si>
  <si>
    <t>B.3.D) Manutenzione e riparazione ai mobili e arredi</t>
  </si>
  <si>
    <t>B.3.E) Manutenzione e riparazione agli automezzi</t>
  </si>
  <si>
    <t>B.3.F) Altre manutenzioni e riparazioni</t>
  </si>
  <si>
    <t>B.3.G) Manutenzioni e riparazioni da Aziende sanitarie pubbliche della Regione</t>
  </si>
  <si>
    <t>B.4) Godimento di beni di terzi</t>
  </si>
  <si>
    <t>B.4.A) Fitti passivi</t>
  </si>
  <si>
    <t>B.4.B) Canoni di noleggio</t>
  </si>
  <si>
    <t>B.4.C) Canoni di leasing</t>
  </si>
  <si>
    <t>Canoni di leasing operativo  - area sanitaria</t>
  </si>
  <si>
    <t>Canoni di leasing finanziario  - area sanitaria</t>
  </si>
  <si>
    <t>Canoni di leasing operativo - area non sanitaria</t>
  </si>
  <si>
    <t>Canoni di leasing finanziario - area non sanitaria</t>
  </si>
  <si>
    <t>B.5) Personale del ruolo sanitario</t>
  </si>
  <si>
    <t>Voci di costo a carattere stipendiale - personale dirigente medico tempo indeterm.</t>
  </si>
  <si>
    <t>Retribuzione di posizione - personale dirigente medico tempo indeterm.</t>
  </si>
  <si>
    <t>Retribuzione di risultato - personale dirigente medico tempo indeterm.</t>
  </si>
  <si>
    <t>Condizioni di lavoro - personale dirigente medico tempo indeterm.</t>
  </si>
  <si>
    <t>Accantonamento al fondo per TFR dipendenti - personale dirigente medico tempo indeterm.</t>
  </si>
  <si>
    <t>Accantonamento ai fondi integrativi pensione - personale dirigente medico tempo indeterm.</t>
  </si>
  <si>
    <t>Altre competenze personale dirigente medico tempo indeterm.</t>
  </si>
  <si>
    <t>Oneri sociali su retribuzione - personale dirigente medico tempo indeterm.</t>
  </si>
  <si>
    <t>B.5.A.1.2) Costo del personale dirigente medico - tempo determ.</t>
  </si>
  <si>
    <t>Voci di costo a carattere stipendiale - personale dirigente medico tempo determ.</t>
  </si>
  <si>
    <t>Retribuzione di posizione - personale dirigente medico tempo determ.</t>
  </si>
  <si>
    <t>Retribuzione di risultato - personale dirigente medico tempo determ.</t>
  </si>
  <si>
    <t>Condizioni di lavoro - personale dirigente medico tempo determ.</t>
  </si>
  <si>
    <t>Accantonamento al fondo per TFR dipendenti - dirigente medico tempo determ.</t>
  </si>
  <si>
    <t>Accantonamento ai fondi integrativi pensione - dirigente medico tempo determ.</t>
  </si>
  <si>
    <t>Altre competenze personale dirigente medico tempo determ.</t>
  </si>
  <si>
    <t>Oneri sociali su retribuzione - personale dirigente medico tempo determ.</t>
  </si>
  <si>
    <t>B.5.A.2.1) Costo del personale dirigente non medico - tempo indeterm.</t>
  </si>
  <si>
    <t>Voci di costo a carattere stipendiale - personale dirigente non medico tempo indeterm.</t>
  </si>
  <si>
    <t>Retribuzione di posizione - personale dirigente non medico tempo indeterm.</t>
  </si>
  <si>
    <t>Retribuzione di risultato - personale dirigente non medico tempo indeterm.</t>
  </si>
  <si>
    <t>Condizioni di lavoro - personale dirigente non medico tempo indeterm.</t>
  </si>
  <si>
    <t>Accantonamento al fondo per TFR dipendenti - personale dirigente non medico tempo indeterm.</t>
  </si>
  <si>
    <t>Accantonamento ai fondi integrativi pensione - personale dirigente non medico tempo indeterm.</t>
  </si>
  <si>
    <t>Altre competenze personale dirigente non medico - personale dirigente non medico tempo indeterm.</t>
  </si>
  <si>
    <t>Oneri sociali su retribuzione - personale dirigente non medico tempo indeterm.</t>
  </si>
  <si>
    <t>B.5.A.2.2) Costo del personale dirigente non medico - tempo determ.</t>
  </si>
  <si>
    <t>Voci di costo a carattere stipendiale - personale dirigente non medico tempo determ.</t>
  </si>
  <si>
    <t>Retribuzione di posizione - personale dirigente non medico tempo determ.</t>
  </si>
  <si>
    <t>Retribuzione di risultato - personale dirigente non medico tempo determ.</t>
  </si>
  <si>
    <t>Condizioni di lavoro - personale dirigente non medico tempo determ.</t>
  </si>
  <si>
    <t>Accantonamento al fondo per TFR dipendenti - personale dirigente non medico tempo determ.</t>
  </si>
  <si>
    <t>Accantonamento ai fondi integrativi pensione - personale dirigente non medico tempo determ.</t>
  </si>
  <si>
    <t>Altre competenze personale dirigente non medico - personale dirigente non medico tempo determ.</t>
  </si>
  <si>
    <t>Oneri sociali su retribuzione - personale dirigente non medico tempo determ.</t>
  </si>
  <si>
    <t>Costo del personale dirigente non medico - altro</t>
  </si>
  <si>
    <t>B.5.B.1) Costo del personale comparto ruolo sanitario - tempo indeterm.</t>
  </si>
  <si>
    <t>Voci di costo a carattere stipendiale - personale comparto ruolo sanitario tempo indeterm.</t>
  </si>
  <si>
    <t>Premialità e condizioni di lavoro personale comparto ruolo sanitario tempo indeterm.</t>
  </si>
  <si>
    <t>Straordinario - personale comparto ruolo sanitario tempo indeterm.</t>
  </si>
  <si>
    <t>Condizioni di lavoro - personale comparto ruolo sanitario tempo indeterm.</t>
  </si>
  <si>
    <t>Premialità - personale comparto ruolo sanitario tempo indeterm.</t>
  </si>
  <si>
    <t>Incarichi, progressioni economiche ed indennità professionali comparto ruolo sanitario tempo indeterm.</t>
  </si>
  <si>
    <t>Incarichi - personale comparto ruolo sanitario tempo indeterm.</t>
  </si>
  <si>
    <t>Progressioni economiche - personale comparto ruolo sanitario tempo indeterm.</t>
  </si>
  <si>
    <t>Indennità professionali - personale comparto ruolo sanitario tempo indeterm.</t>
  </si>
  <si>
    <t>Accantonamento al fondo per TFR dipendenti - personale comparto ruolo sanitario tempo indeterm.</t>
  </si>
  <si>
    <t>Accantonamento ai fondi integrativi pensione - personale comparto ruolo sanitario tempo indeterm.</t>
  </si>
  <si>
    <t>Altri oneri per il personale comparto ruolo sanitario tempo indeterm.</t>
  </si>
  <si>
    <t>Oneri sociali su retribuzione - personale comparto ruolo sanitario tempo indeterm.</t>
  </si>
  <si>
    <t>B.5.B.2) Costo del personale comparto ruolo sanitario - tempo determ.</t>
  </si>
  <si>
    <t>B.5.B.2) a) Costo del personale comparto ruolo sanitario - tempo determ.</t>
  </si>
  <si>
    <t>Voci di costo a carattere stipendiale - personale comparto ruolo sanitario tempo determ.</t>
  </si>
  <si>
    <t>Premialità e condizioni di lavoro personale comparto ruolo sanitario tempo determ.</t>
  </si>
  <si>
    <t>Straordinario - personale comparto ruolo sanitario tempo determ.</t>
  </si>
  <si>
    <t>Condizioni di lavoro - personale comparto ruolo sanitario tempo determ.</t>
  </si>
  <si>
    <t>Premialità - personale comparto ruolo sanitario tempo determ.</t>
  </si>
  <si>
    <t>Incarichi, progressioni economiche ed indennità professionali comparto ruolo sanitario tempo determ.</t>
  </si>
  <si>
    <t>Incarichi - personale comparto ruolo sanitario tempo determ.</t>
  </si>
  <si>
    <t>Progressioni economiche - personale comparto ruolo sanitario tempo determ.</t>
  </si>
  <si>
    <t>Indennità professionali - personale comparto ruolo sanitario tempo determ.</t>
  </si>
  <si>
    <t>Accantonamento al fondo per TFR dipendenti - personale comparto ruolo sanitario tempo determ.</t>
  </si>
  <si>
    <t>Accantonamento ai fondi integrativi pensione - personale comparto ruolo sanitario tempo determ.</t>
  </si>
  <si>
    <t>Altri oneri per il personale comparto ruolo sanitario tempo determ.</t>
  </si>
  <si>
    <t>Oneri sociali su retribuzione - personale comparto ruolo sanitario tempo determ.</t>
  </si>
  <si>
    <t>B.5.B.2) b) Costo del personale comparto ruolo ricercatori piramide - tempo determ.</t>
  </si>
  <si>
    <t>Voci di costo a carattere stipendiale - personale comparto ruolo ricercatori piramide tempo determ.</t>
  </si>
  <si>
    <t>Premialità e condizioni di lavoro personale ruolo ricercatori piramide - tempo determ.</t>
  </si>
  <si>
    <t>Straordinario - personale comparto ruolo ricercatori  piramide tempo determ.</t>
  </si>
  <si>
    <t>Condizioni di lavoro - ruolo ricercatori piramide tempo determ.</t>
  </si>
  <si>
    <t>Premialità - ruolo ricercatori piramide tempo determ.</t>
  </si>
  <si>
    <t>Incarichi, progressioni economiche ed indennità professionali comparto ruolo ricercatori piramide tempo determ.</t>
  </si>
  <si>
    <t>Incarichi - personale ruolo ricercatori piramide tempo determ.</t>
  </si>
  <si>
    <t>Progressioni economiche - personale ruolo ricercatori piramide tempo determ.</t>
  </si>
  <si>
    <t>Indennità professionali - personale ruolo ricercatori piramide tempo determ.</t>
  </si>
  <si>
    <t>Accantonamento al fondo per TFR dipendenti - personale comparto ruolo ricercatori piramide  tempo determ.</t>
  </si>
  <si>
    <t>Accantonamento ai fondi integrativi pensione - personale comparto ruolo ricercatori piramide  tempo determ.</t>
  </si>
  <si>
    <t>Altri oneri per il personale comparto ruolo ricercatori piramide  tempo determ.</t>
  </si>
  <si>
    <t>Oneri sociali su retribuzione - personale comparto ruolo ricercatori piramide  tempo determ.</t>
  </si>
  <si>
    <t>B.5.B.2) c) Costo del personale comparto ruolo collaboratori piramide - tempo determ.</t>
  </si>
  <si>
    <t>Voci di costo a carattere stipendiale - personale comparto ruolo collaboratori piramide tempo determ.</t>
  </si>
  <si>
    <t>Premialità e condizioni di lavoro personale ruolo collaboratori piramide - tempo determ.</t>
  </si>
  <si>
    <t>Straordinario - personale comparto ruolo collaboratori  piramide tempo determ.</t>
  </si>
  <si>
    <t>Condizioni di lavoro - ruolo collaboratori piramide tempo determ.</t>
  </si>
  <si>
    <t>Premialità - ruolo collaboratori piramide tempo determ.</t>
  </si>
  <si>
    <t>Incarichi, progressioni economiche ed indennità professionali comparto ruolo collaboratori piramide tempo determ.</t>
  </si>
  <si>
    <t>Incarichi - personale ruolo collaboratori piramide tempo determ.</t>
  </si>
  <si>
    <t>Progressioni economiche - personale ruolo collaboratori piramide tempo determ.</t>
  </si>
  <si>
    <t>Indennità professionali - personale ruolo collaboratori piramide tempo determ.</t>
  </si>
  <si>
    <t>Accantonamento al fondo per TFR dipendenti - personale comparto ruolo collaboratori piramide  tempo determ.</t>
  </si>
  <si>
    <t>Accantonamento ai fondi integrativi pensione - personale comparto ruolo collaboratori piramide  tempo determ.</t>
  </si>
  <si>
    <t>Altri oneri per il personale comparto ruolo collaboratori piramide  tempo determ.</t>
  </si>
  <si>
    <t>Oneri sociali su retribuzione - personale comparto ruolo collaboratori piramide  tempo determ.</t>
  </si>
  <si>
    <t>B.6) Personale del ruolo professionale</t>
  </si>
  <si>
    <t>B.6.A.1) Costo del personale dirigente ruolo professionale - tempo indeterm.</t>
  </si>
  <si>
    <t>Voci di costo a carattere stipendiale - personale dirigente ruolo professionale tempo indeterm.</t>
  </si>
  <si>
    <t>Retribuzione di posizione - personale dirigente ruolo professionale tempo indeterm.</t>
  </si>
  <si>
    <t>Retribuzione di risultato - personale dirigente ruolo professionale tempo indeterm.</t>
  </si>
  <si>
    <t>Trattamento accessorio - personale dirigente ruolo professionale tempo indeterm.</t>
  </si>
  <si>
    <t>Accantonamento al fondo per TFR dipendenti - personale dirigente ruolo professionale tempo indeterm.</t>
  </si>
  <si>
    <t>Accantonamento ai fondi integrativi pensione - personale dirigente ruolo professionale tempo indeterm.</t>
  </si>
  <si>
    <t>Altre competenze personale dirigente ruolo professionale - personale dirigente ruolo professionale tempo indeterm.</t>
  </si>
  <si>
    <t>Oneri sociali su retribuzione - personale dirigente ruolo professionale tempo indeterm.</t>
  </si>
  <si>
    <t>B.6.A.2) Costo del personale dirigente ruolo professionale - tempo determ.</t>
  </si>
  <si>
    <t>Voci di costo a carattere stipendiale - personale dirigente ruolo professionale tempo determ.</t>
  </si>
  <si>
    <t>Retribuzione di posizione - personale dirigente ruolo professionale tempo determ.</t>
  </si>
  <si>
    <t>Retribuzione di risultato - personale dirigente ruolo professionale tempo determ.</t>
  </si>
  <si>
    <t>Trattamento accessorio - personale dirigente ruolo professionale tempo determ.</t>
  </si>
  <si>
    <t>Accantonamento al fondo per TFR dipendenti - personale dirigente ruolo professionale tempo determ.</t>
  </si>
  <si>
    <t>Accantonamento ai fondi integrativi pensione - personale dirigente ruolo professionale tempo determ.</t>
  </si>
  <si>
    <t>Altre competenze personale dirigente ruolo professionale - personale dirigente ruolo professionale tempo determ.</t>
  </si>
  <si>
    <t>Oneri sociali su retribuzione - personale dirigente ruolo professionale tempo determ.</t>
  </si>
  <si>
    <t>B.6.B.1) Costo del personale comparto ruolo professionale - tempo indeterm.</t>
  </si>
  <si>
    <t>Voci di costo a carattere stipendiale - personale comparto ruolo professionale tempo indeterm.</t>
  </si>
  <si>
    <t>Premialità e condizioni di lavoro personale comparto ruolo professionale - tempo indeterm.</t>
  </si>
  <si>
    <t>Straordinario - personale comparto ruolo professionale tempo indeterm.</t>
  </si>
  <si>
    <t>Condizioni di lavoro - comparto ruolo professionale tempo indeterm.</t>
  </si>
  <si>
    <t>Premialità - comparto ruolo professionale tempo indeterm.</t>
  </si>
  <si>
    <t>Incarichi - personale comparto ruolo professionale tempo indeterm.</t>
  </si>
  <si>
    <t>Progressioni economiche - personale comparto ruolo professionale tempo indeterm.</t>
  </si>
  <si>
    <t>Indennità professionali - personale comparto ruolo professionale tempo indeterm.</t>
  </si>
  <si>
    <t>Accantonamento al fondo per TFR dipendenti - personale comparto ruolo professionale tempo indeterm.</t>
  </si>
  <si>
    <t>Accantonamento ai fondi integrativi pensione - personale comparto ruolo professionale tempo indeterm.</t>
  </si>
  <si>
    <t>Altri oneri per il personale comparto ruolo professionale tempo indeterm.</t>
  </si>
  <si>
    <t>Oneri sociali su retribuzione - personale comparto ruolo professionale tempo indeterm.</t>
  </si>
  <si>
    <t>B.6.B.2) Costo del personale comparto ruolo professionale - tempo determ.</t>
  </si>
  <si>
    <t>Voci di costo a carattere stipendiale - personale comparto ruolo professionale tempo determ.</t>
  </si>
  <si>
    <t>Premialità e condizioni di lavoro personale comparto ruolo professionale - tempo determ.</t>
  </si>
  <si>
    <t>Straordinario - personale comparto ruolo professionale tempo determ.</t>
  </si>
  <si>
    <t>Condizioni di lavoro - comparto ruolo professionale tempo determ.</t>
  </si>
  <si>
    <t>Premialità - comparto ruolo professionale tempo determ.</t>
  </si>
  <si>
    <t>Incarichi - personale comparto ruolo professionale tempo determ.</t>
  </si>
  <si>
    <t>Progressioni economiche - personale comparto ruolo professionale tempo determ.</t>
  </si>
  <si>
    <t>Indennità professionali - personale comparto ruolo professionale tempo determ.</t>
  </si>
  <si>
    <t>Accantonamento al fondo per TFR dipendenti - personale comparto ruolo professionale tempo determ.</t>
  </si>
  <si>
    <t>Accantonamento ai fondi integrativi pensione - personale comparto ruolo professionale tempo determ.</t>
  </si>
  <si>
    <t>Altri oneri per il personale comparto ruolo professionale tempo determ.</t>
  </si>
  <si>
    <t>Oneri sociali su retribuzione - personale comparto ruolo professionale tempo determ.</t>
  </si>
  <si>
    <t>B.7) Personale del ruolo tecnico</t>
  </si>
  <si>
    <t>Voci di costo a carattere stipendiale - personale dirigente ruolo tecnico tempo indeterm.</t>
  </si>
  <si>
    <t>Retribuzione di posizione - personale dirigente ruolo tecnico tempo indeterm.</t>
  </si>
  <si>
    <t>Retribuzione di risultato - personale dirigente ruolo tecnico tempo indeterm.</t>
  </si>
  <si>
    <t>Trattamento accessorio - personale dirigente ruolo tecnico tempo indeterm.</t>
  </si>
  <si>
    <t>Accantonamento al fondo per TFR dipendenti - personale dirigente ruolo tecnico tempo indeterm.</t>
  </si>
  <si>
    <t>Accantonamento ai fondi integrativi pensione - personale dirigente ruolo tecnico tempo indeterm.</t>
  </si>
  <si>
    <t>Altre competenze personale dirigente ruolo tecnico - personale dirigente ruolo tecnico tempo indeterm.</t>
  </si>
  <si>
    <t>Oneri sociali su retribuzione - personale dirigente ruolo tecnico tempo indeterm.</t>
  </si>
  <si>
    <t>Voci di costo a carattere stipendiale - personale dirigente ruolo tecnico tempo determ.</t>
  </si>
  <si>
    <t>Retribuzione di posizione - personale dirigente ruolo tecnico tempo determ.</t>
  </si>
  <si>
    <t>Retribuzione di risultato - personale dirigente ruolo tecnico tempo determ.</t>
  </si>
  <si>
    <t>Trattamento accessorio -  personale dirigente ruolo tecnico tempo determ.</t>
  </si>
  <si>
    <t>Accantonamento al fondo per TFR dipendenti - personale dirigente ruolo tecnico tempo determ.</t>
  </si>
  <si>
    <t>Accantonamento ai fondi integrativi pensione - personale dirigente ruolo tecnico tempo determ.</t>
  </si>
  <si>
    <t>Altre competenze personale dirigente ruolo tecnico - personale dirigente ruolo tecnico tempo determ.</t>
  </si>
  <si>
    <t>Oneri sociali su retribuzione - personale dirigente ruolo tecnico tempo determ.</t>
  </si>
  <si>
    <t>B.7.B.1) a) Costo del personale comparto ruolo tecnico - tempo indeterminato</t>
  </si>
  <si>
    <t>Voci di costo a carattere stipendiale - personale comparto ruolo tecnico tempo indeterm.</t>
  </si>
  <si>
    <t>Premialità e condizioni di lavoro personale comparto ruolo tecnico - tempo indeterm.</t>
  </si>
  <si>
    <t>Straordinario - personale comparto ruolo tecnico tempo indeterm.</t>
  </si>
  <si>
    <t>Condizioni di lavoro - comparto ruolo tecnico tempo indeterm.</t>
  </si>
  <si>
    <t>Premialità - comparto ruolo tecnico tempo indeterm.</t>
  </si>
  <si>
    <t>Incarichi, progressioni economiche ed indennità professionali comparto ruolo tecnico tempo indeterm.</t>
  </si>
  <si>
    <t>Incarichi - personale comparto ruolo tecnico tempo indeterm.</t>
  </si>
  <si>
    <t>Progressioni economiche - personale comparto ruolo tecnico tempo indeterm.</t>
  </si>
  <si>
    <t>Indennità professionali - personale comparto ruolo tecnico tempo indeterm.</t>
  </si>
  <si>
    <t>Accantonamento al fondo per TFR dipendenti - personale comparto ruolo tecnico tempo indeterm.</t>
  </si>
  <si>
    <t>Accantonamento ai fondi integrativi pensione - personale comparto ruolo tecnico tempo indeterm.</t>
  </si>
  <si>
    <t>Altri oneri per il personale comparto ruolo tecnico tempo indeterm.</t>
  </si>
  <si>
    <t>Oneri sociali su retribuzione - personale comparto ruolo tecnico tempo indeterm.</t>
  </si>
  <si>
    <t>B.7.B.1) b) Costo del personale comparto ruolo sociosanitario - tempo indeterminato</t>
  </si>
  <si>
    <t>Voci di costo a carattere stipendiale - personale comparto ruolo sociosanitario tempo indeterm.</t>
  </si>
  <si>
    <t>Premialità e condizioni di lavoro personale comparto ruolo sociosanitario - tempo indeterm.</t>
  </si>
  <si>
    <t>Straordinario - personale comparto ruolo sociosanitario tempo indeterm.</t>
  </si>
  <si>
    <t>Condizioni di lavoro - comparto ruolo sociosanitario tempo indeterm.</t>
  </si>
  <si>
    <t>Premialità - comparto ruolo sociosanitario tempo indeterm.</t>
  </si>
  <si>
    <t>Incarichi, progressioni economiche ed indennità professionali comparto ruolo sociosanitario tempo indeterm.</t>
  </si>
  <si>
    <t>Incarichi - personale comparto ruolo sociosanitario tempo indeterm.</t>
  </si>
  <si>
    <t>Progressioni economiche - personale comparto ruolo sociosanitario tempo indeterm.</t>
  </si>
  <si>
    <t>Indennità professionali - personale comparto ruolo sociosanitario tempo indeterm.</t>
  </si>
  <si>
    <t>Accantonamento al fondo per TFR dipendenti - personale comparto ruolo sociosanitario tempo indeterm.</t>
  </si>
  <si>
    <t>Accantonamento ai fondi integrativi pensione - personale comparto ruolo sociosanitario tempo indeterm.</t>
  </si>
  <si>
    <t>Altri oneri per il personale comparto ruolo sociosanitario tempo indeterm.</t>
  </si>
  <si>
    <t>Oneri sociali su retribuzione - personale comparto ruolo sociosanitario tempo indeterm.</t>
  </si>
  <si>
    <t>B.7.B.2) a) Costo del personale comparto ruolo tecnico - tempo determinato</t>
  </si>
  <si>
    <t>Voci di costo a carattere stipendiale - personale comparto ruolo tecnico tempo determ.</t>
  </si>
  <si>
    <t>Premialità e condizioni di lavoro personale comparto ruolo tecnico - tempo determ.</t>
  </si>
  <si>
    <t>Straordinario - personale comparto ruolo tecnico tempo determ.</t>
  </si>
  <si>
    <t>Condizioni di lavoro - comparto ruolo tecnico tempo determ.</t>
  </si>
  <si>
    <t>Premialità - comparto ruolo tecnico tempo determ.</t>
  </si>
  <si>
    <t>Incarichi, progressioni economiche ed indennità professionali comparto ruolo tecnico tempo determ.</t>
  </si>
  <si>
    <t>Incarichi - personale comparto ruolo tecnico tempo determ.</t>
  </si>
  <si>
    <t>Progressioni economiche - personale comparto ruolo tecnico tempo determ.</t>
  </si>
  <si>
    <t>Indennità professionali - personale comparto ruolo tecnico tempo determ.</t>
  </si>
  <si>
    <t>Accantonamento al fondo per TFR dipendenti - personale comparto ruolo tecnico tempo determ.</t>
  </si>
  <si>
    <t>Accantonamento ai fondi integrativi pensione - personale comparto ruolo tecnico tempo determ.</t>
  </si>
  <si>
    <t>Altri oneri per il personale comparto ruolo tecnico tempo determ.</t>
  </si>
  <si>
    <t>Oneri sociali su retribuzione - personale comparto ruolo tecnico tempo determ.</t>
  </si>
  <si>
    <t>B.7.B.2) b) Costo del personale comparto ruolo sociosanitario - tempo determinato</t>
  </si>
  <si>
    <t>Voci di costo a carattere stipendiale - personale comparto ruolo sociosanitario tempo determ.</t>
  </si>
  <si>
    <t>Premialità e condizioni di lavoro personale comparto ruolo sociosanitario - tempo determ.</t>
  </si>
  <si>
    <t>Straordinario - personale comparto ruolo sociosanitario tempo determ.</t>
  </si>
  <si>
    <t>Condizioni di lavoro - comparto ruolo sociosanitario tempo determ.</t>
  </si>
  <si>
    <t>Premialità - comparto ruolo sociosanitario tempo determ.</t>
  </si>
  <si>
    <t>Incarichi, progressioni economiche ed indennità professionali comparto ruolo sociosanitario tempo determ.</t>
  </si>
  <si>
    <t>Incarichi - personale comparto ruolo sociosanitario tempo determ.</t>
  </si>
  <si>
    <t>Progressioni economiche - personale comparto ruolo sociosanitario tempo determ.</t>
  </si>
  <si>
    <t>Indennità professionali - personale comparto ruolo sociosanitario tempo determ.</t>
  </si>
  <si>
    <t>Accantonamento al fondo per TFR dipendenti - personale comparto ruolo sociosanitario tempo determ.</t>
  </si>
  <si>
    <t>Accantonamento ai fondi integrativi pensione - personale comparto ruolo sociosanitario tempo determ.</t>
  </si>
  <si>
    <t>Altri oneri per il personale comparto ruolo sociosanitario tempo determ.</t>
  </si>
  <si>
    <t>Oneri sociali su retribuzione - personale comparto ruolo sociosanitario tempo determ.</t>
  </si>
  <si>
    <t>B.8) Personale del ruolo amministrativo</t>
  </si>
  <si>
    <t>Voci di costo a carattere stipendiale - personale dirigente ruolo amministrativo tempo indeterm.</t>
  </si>
  <si>
    <t>Retribuzione di posizione - personale dirigente ruolo amministrativo tempo indeterm.</t>
  </si>
  <si>
    <t>Retribuzione di risultato - personale dirigente ruolo amministrativo tempo indeterm.</t>
  </si>
  <si>
    <t>Trattamento accessorio - personale dirigente ruolo amministrativo tempo indeterm.</t>
  </si>
  <si>
    <t>Accantonamento al fondo per TFR dipendenti - personale dirigente ruolo amministrativo tempo indeterm.</t>
  </si>
  <si>
    <t>Accantonamento ai fondi integrativi pensione - personale dirigente ruolo amministrativo tempo indeterm.</t>
  </si>
  <si>
    <t>Altre competenze personale dirigente ruolo amministrativo - personale dirigente ruolo amministrativo tempo indeterm.</t>
  </si>
  <si>
    <t>Oneri sociali su retribuzione - personale dirigente ruolo amministrativo tempo indeterm.</t>
  </si>
  <si>
    <t>Voci di costo a carattere stipendiale - personale dirigente ruolo amministrativo tempo determ.</t>
  </si>
  <si>
    <t>Retribuzione di posizione - personale dirigente ruolo amministrativo tempo determ.</t>
  </si>
  <si>
    <t>Retribuzione di risultato -  personale dirigente ruolo amministrativo tempo determ.</t>
  </si>
  <si>
    <t>Trattamento accessorio - personale dirigente ruolo amministrativo tempo determ.</t>
  </si>
  <si>
    <t>Accantonamento al fondo per TFR dipendenti - personale dirigente ruolo amministrativo tempo determ.</t>
  </si>
  <si>
    <t>Accantonamento ai fondi integrativi pensione - personale dirigente ruolo amministrativo tempo determ.</t>
  </si>
  <si>
    <t>Altre competenze personale dirigente ruolo amministrativo - personale dirigente ruolo amministrativo tempo determ.</t>
  </si>
  <si>
    <t>Oneri sociali su retribuzione - personale dirigente ruolo amministrativo tempo determ.</t>
  </si>
  <si>
    <t>Voci di costo a carattere stipendiale - personale comparto ruolo amministrativo tempo indeterm.</t>
  </si>
  <si>
    <t>Premialità e condizioni di lavoro personale comparto ruolo amministrativo - tempo indeterm.</t>
  </si>
  <si>
    <t>Straordinario - personale comparto ruolo amministrativo tempo indeterm.</t>
  </si>
  <si>
    <t>Condizioni di lavoro - comparto ruolo amministrativo tempo indeterm.</t>
  </si>
  <si>
    <t>Premialità - comparto ruolo amministrativo tempo indeterm.</t>
  </si>
  <si>
    <t>Incarichi, progressioni economiche ed indennità professionali comparto ruolo amministrativo tempo indeterm.</t>
  </si>
  <si>
    <t>Incarichi - personale comparto ruolo amministrativo tempo indeterm.</t>
  </si>
  <si>
    <t>Progressioni economiche - personale comparto amministrativo tecnico tempo indeterm.</t>
  </si>
  <si>
    <t>Indennità professionali - personale comparto ruolo amministrativo tempo indeterm.</t>
  </si>
  <si>
    <t>Accantonamento al fondo per TFR dipendenti - personale comparto ruolo amministrativo tempo indeterm.</t>
  </si>
  <si>
    <t>Accantonamento ai fondi integrativi pensione - personale comparto ruolo amministrativo tempo indeterm.</t>
  </si>
  <si>
    <t>Altri oneri per il personale comparto ruolo amministrativo tempo indeterm.</t>
  </si>
  <si>
    <t>Oneri sociali su retribuzione - personale comparto ruolo amministrativo tempo indeterm.</t>
  </si>
  <si>
    <t>Voci di costo a carattere stipendiale - personale comparto ruolo amministrativo tempo determ.</t>
  </si>
  <si>
    <t>Premialità e condizioni di lavoro personale comparto ruolo amministrativo - tempo determ.</t>
  </si>
  <si>
    <t>Straordinario - personale comparto ruolo amministrativo tempo determ.</t>
  </si>
  <si>
    <t>Condizioni di lavoro - comparto ruolo amministrativo tempo determ.</t>
  </si>
  <si>
    <t>Premialità - comparto ruolo amministrativo tempo determ.</t>
  </si>
  <si>
    <t>Incarichi, progressioni economiche ed indennità professionali comparto ruolo amministrativo tempo determ.</t>
  </si>
  <si>
    <t>Incarichi - personale comparto ruolo amministrativo tempo determ.</t>
  </si>
  <si>
    <t>Progressioni economiche - personale comparto amministrativo tecnico tempo determ.</t>
  </si>
  <si>
    <t>Indennità professionali - personale comparto ruolo amministrativo tempo determ.</t>
  </si>
  <si>
    <t>Accantonamento al fondo per TFR dipendenti - personale comparto ruolo amministrativo tempo determ.</t>
  </si>
  <si>
    <t>Accantonamento ai fondi integrativi pensione - personale comparto ruolo amministrativo tempo determ.</t>
  </si>
  <si>
    <t>Altri oneri per il personale comparto ruolo amministrativo tempo determ.</t>
  </si>
  <si>
    <t>Oneri sociali su retribuzione - personale comparto ruolo amministrativo tempo determ.</t>
  </si>
  <si>
    <t>B.9) Oneri diversi di gestione</t>
  </si>
  <si>
    <t>B.9.A) Imposte e tasse (escluso IRAP e IRES)</t>
  </si>
  <si>
    <t>B.9.B) Perdite su crediti</t>
  </si>
  <si>
    <t>B.9.C.1) Indennità, rimborso spese e oneri sociali per gli Organi Direttivi e Collegio Sindacale</t>
  </si>
  <si>
    <t>Indennità organi direttivi e di indirizzo</t>
  </si>
  <si>
    <t>Oneri sociali organi direttivi e di indirizzo</t>
  </si>
  <si>
    <t>Indennità collegio sindacale</t>
  </si>
  <si>
    <t>Oneri sociali collegio sindacale</t>
  </si>
  <si>
    <t>Indennità altri organismi</t>
  </si>
  <si>
    <t>Oneri sociali altri organismi</t>
  </si>
  <si>
    <t>B.9.C.2) Altri oneri diversi di gestione</t>
  </si>
  <si>
    <t>Ammortamento Diritti di brevetto e diritti di utilizzazione delle opere d'ingegno derivanti dall'attività di ricerca</t>
  </si>
  <si>
    <t>Svalutazione automezzi</t>
  </si>
  <si>
    <t>Svalutazione Crediti v/Stato per ricerca - altre Amministrazioni centrali</t>
  </si>
  <si>
    <t>Var. rim. prodotti farmaceutici ed emoderivati</t>
  </si>
  <si>
    <t>Var. rim. sangue ed emocomponenti</t>
  </si>
  <si>
    <t>Var. rim. dispositivi medici</t>
  </si>
  <si>
    <t>Var. rim. prodotti dietetici</t>
  </si>
  <si>
    <t>Var. rim. materiali per la profilassi (vaccini)</t>
  </si>
  <si>
    <t>Var. rim. prodotti chimici</t>
  </si>
  <si>
    <t>Var. rim. materiali e prodotti per uso veterinario</t>
  </si>
  <si>
    <t xml:space="preserve">Var. rim. altri beni e prodotti sanitari </t>
  </si>
  <si>
    <t>Var. rim. prodotti alimentari</t>
  </si>
  <si>
    <t>Var. rim. materiali di guardaroba, di pulizia e di convivenza in genere</t>
  </si>
  <si>
    <t>Var. rim. combustibili, carburanti e lubrificanti</t>
  </si>
  <si>
    <t>Var. rim. supporti informatici e cancelleria</t>
  </si>
  <si>
    <t>Var. rim. materiale per la manutenzione</t>
  </si>
  <si>
    <t xml:space="preserve">Var. rim. altri beni e prodotti non sanitari </t>
  </si>
  <si>
    <t>B.14) Accantonamenti dell'esercizio</t>
  </si>
  <si>
    <t>B.14.A.7)  Altri accantonamenti per interessi di mora</t>
  </si>
  <si>
    <t>B.14.C) Accantonamenti per quote inutilizzate di contributi vincolati</t>
  </si>
  <si>
    <t>Accantonamenti per quote inutilizzate contributi da Regione e Prov. Aut. per quota F.S. indistinto finalizzato</t>
  </si>
  <si>
    <t>B.14.D.8) Acc. per Fondi integrativi pensione</t>
  </si>
  <si>
    <t>CA0000</t>
  </si>
  <si>
    <t>C) Proventi e oneri finanziari</t>
  </si>
  <si>
    <t>Interessi moratori e legali attivi</t>
  </si>
  <si>
    <t>C.3) Interessi passivi</t>
  </si>
  <si>
    <t>Interessi moratori e legali passivi</t>
  </si>
  <si>
    <t>DA0000</t>
  </si>
  <si>
    <t>D) Rettifiche di valore di attività finanziarie</t>
  </si>
  <si>
    <t>D.1) Rivalutazioni</t>
  </si>
  <si>
    <t>D.2) Svalutazioni</t>
  </si>
  <si>
    <t>EA0000</t>
  </si>
  <si>
    <t>E) Proventi e oneri straordinari</t>
  </si>
  <si>
    <t>E.1.B.3) Insussistenze attive</t>
  </si>
  <si>
    <t>9</t>
  </si>
  <si>
    <t>YA0000</t>
  </si>
  <si>
    <t>Imposte e tasse</t>
  </si>
  <si>
    <t>TOTALE COSTI</t>
  </si>
  <si>
    <t>(Centesimi di euro)</t>
  </si>
  <si>
    <t>Distribuzione farmaci da privato</t>
  </si>
  <si>
    <t>Compenso servizio distribuzione per conto (DPC)</t>
  </si>
  <si>
    <t>Compartecipazione al personale per att. libero professionale intramoenia  - Altro</t>
  </si>
  <si>
    <t>Oneri su compartecipazione al  personale per att. libero  professionale intramoenia - Altro</t>
  </si>
  <si>
    <t>Compartecipazione al personale  - Altro  (Aziende sanitarie pubbliche della Regione)</t>
  </si>
  <si>
    <t>Oneri su compartecipazione al  personale per att. libero  professionale intramoenia - Altro (Aziende sanitarie pubbliche della Regione)</t>
  </si>
  <si>
    <t>B.5.B.1) a) Costo del personale comparto ruolo sanitario - tempo indeterm.</t>
  </si>
  <si>
    <t>B.5.B.2) b) Costo del personale comparto ruolo ricercatori piramide - tempo indeterm.</t>
  </si>
  <si>
    <t>Voci di costo a carattere stipendiale - personale comparto ruolo ricercatori piramide tempo indeterm.</t>
  </si>
  <si>
    <t>Premialità e condizioni di lavoro personale ruolo ricercatori piramide - tempo indeterm.</t>
  </si>
  <si>
    <t>Straordinario - personale comparto ruolo ricercatori  piramide tempo indeterm.</t>
  </si>
  <si>
    <t>Condizioni di lavoro - ruolo ricercatori piramide tempo indeterm.</t>
  </si>
  <si>
    <t>Premialità - ruolo ricercatori piramide tempo indeterm.</t>
  </si>
  <si>
    <t>Incarichi, progressioni economiche ed indennità professionali comparto ruolo ricercatori piramide tempo indeterm.</t>
  </si>
  <si>
    <t>Incarichi - personale ruolo ricercatori piramide tempo indeterm.</t>
  </si>
  <si>
    <t>Progressioni economiche - personale ruolo ricercatori piramide tempo indeterm.</t>
  </si>
  <si>
    <t>Indennità professionali - personale ruolo ricercatori piramide tempo indeterm.</t>
  </si>
  <si>
    <t>Accantonamento al fondo per TFR dipendenti - personale comparto ruolo ricercatori piramide  tempo indeterm.</t>
  </si>
  <si>
    <t>Accantonamento ai fondi integrativi pensione - personale comparto ruolo ricercatori piramide  tempo indeterm.</t>
  </si>
  <si>
    <t>Altri oneri per il personale comparto ruolo ricercatori piramide  tempo indeterm.</t>
  </si>
  <si>
    <t>Oneri sociali su retribuzione - personale comparto ruolo ricercatori piramide  tempo indeterm.</t>
  </si>
  <si>
    <t>B.5.B.2) c) Costo del personale comparto ruolo collaboratori piramide - tempo indeterm.</t>
  </si>
  <si>
    <t>Voci di costo a carattere stipendiale - personale comparto ruolo collaboratori piramide tempo indeterm.</t>
  </si>
  <si>
    <t>Premialità e condizioni di lavoro personale ruolo collaboratori piramide - tempo indeterm.</t>
  </si>
  <si>
    <t>Straordinario - personale comparto ruolo collaboratori  piramide tempo indeterm.</t>
  </si>
  <si>
    <t>Condizioni di lavoro - ruolo collaboratori piramide tempo indeterm.</t>
  </si>
  <si>
    <t>Premialità - ruolo collaboratori piramide tempo indeterm.</t>
  </si>
  <si>
    <t>Incarichi, progressioni economiche ed indennità professionali comparto ruolo collaboratori piramide tempo indeterm.</t>
  </si>
  <si>
    <t>Incarichi - personale ruolo collaboratori piramide tempo indeterm.</t>
  </si>
  <si>
    <t>Progressioni economiche - personale ruolo collaboratori piramide tempo indeterm.</t>
  </si>
  <si>
    <t>Indennità professionali - personale ruolo collaboratori piramide tempo indeterm.</t>
  </si>
  <si>
    <t>Accantonamento al fondo per TFR dipendenti - personale comparto ruolo collaboratori piramide  tempo indeterm.</t>
  </si>
  <si>
    <t>Accantonamento ai fondi integrativi pensione - personale comparto ruolo collaboratori piramide  tempo indeterm.</t>
  </si>
  <si>
    <t>Altri oneri per il personale comparto ruolo collaboratori piramide  tempo indeterm.</t>
  </si>
  <si>
    <t>Oneri sociali su retribuzione - personale comparto ruolo collaboratori piramide  tempo indeterm.</t>
  </si>
  <si>
    <t>B.7.B.1) a) Costo del personale dirigente ruolo tecnico - tempo indeterminato</t>
  </si>
  <si>
    <t>B.7.B.1) a) Costo del personale dirigente ruolo sociosanitario - tempo indeterminato</t>
  </si>
  <si>
    <t>Voci di costo a carattere stipendiale - personale dirigente ruolo sociosanitario tempo indeterm.</t>
  </si>
  <si>
    <t>Retribuzione di risultato - personale dirigente ruolo sociosanitario tempo indeterm.</t>
  </si>
  <si>
    <t>Trattamento accessorio - personale dirigente ruolo sociosanitario tempo indeterm.</t>
  </si>
  <si>
    <t>Accantonamento al fondo per TFR dipendenti - personale dirigente ruolo sociosanitario tempo indeterm.</t>
  </si>
  <si>
    <t>Accantonamento ai fondi integrativi pensione - personale dirigente ruolo sociosanitario tempo indeterm.</t>
  </si>
  <si>
    <t>Altre competenze personale dirigente ruolo sociosanitario - personale dirigente ruolo sociosanitario tempo indeterm.</t>
  </si>
  <si>
    <t>Oneri sociali su retribuzione - personale dirigente ruolo sociosanitario tempo indeterm.</t>
  </si>
  <si>
    <t>B.7.B.1) a) Costo del personale dirigente ruolo tecnico - tempo determinato</t>
  </si>
  <si>
    <t>B.7.B.1) a) Costo del personale dirigente ruolo sociosanitario - tempo determinato</t>
  </si>
  <si>
    <t>Voci di costo a carattere stipendiale - personale dirigente ruolo sociosanitario tempo determ.</t>
  </si>
  <si>
    <t>Retribuzione di posizione - personale dirigente ruolo sociosanitario tempo determ.</t>
  </si>
  <si>
    <t>Retribuzione di risultato - personale dirigente ruolo sociosanitario tempo determ.</t>
  </si>
  <si>
    <t>Trattamento accessorio -  personale dirigente ruolo sociosanitario tempo determ.</t>
  </si>
  <si>
    <t>Accantonamento al fondo per TFR dipendenti - personale dirigente ruolo sociosanitario tempo determ.</t>
  </si>
  <si>
    <t>Accantonamento ai fondi integrativi pensione - personale dirigente ruolo sociosanitario tempo determ.</t>
  </si>
  <si>
    <t>Altre competenze personale dirigente ruolo sociosanitario - personale dirigente ruolo sociosanitario tempo determ.</t>
  </si>
  <si>
    <t>Oneri sociali su retribuzione - personale dirigente ruolo sociosanitario tempo determ.</t>
  </si>
  <si>
    <t>Costo del personale dirigente ruolo sociosanitario - altro</t>
  </si>
  <si>
    <t>Costo del personale comparto ruolo sociosanitario - altro</t>
  </si>
  <si>
    <t>Retribuzione di posizione - personale dirigente ruolo sociosanitario tempo indeterm.</t>
  </si>
  <si>
    <t>ENTE SSN</t>
  </si>
  <si>
    <t>ANNO</t>
  </si>
  <si>
    <t>TRIM.</t>
  </si>
  <si>
    <t>Importo 2024 BILANCIO SANITARIO (A+B)</t>
  </si>
  <si>
    <t>Importo 2024 bilancio sanità (A)</t>
  </si>
  <si>
    <t>Importo 2024 bilancio sanità disabilità (B)</t>
  </si>
  <si>
    <t>Importo 2023</t>
  </si>
  <si>
    <t>Variazione
importo 2024 / importo 2023</t>
  </si>
  <si>
    <t>Importo 2024</t>
  </si>
  <si>
    <t>STATO PATRIMONIALE
Attivo</t>
  </si>
  <si>
    <t>Importi: Unità di Euro</t>
  </si>
  <si>
    <t>Anno 2023</t>
  </si>
  <si>
    <t>IMMOBILIZZAZIONI</t>
  </si>
  <si>
    <t>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</si>
  <si>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</si>
  <si>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</si>
  <si>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</si>
  <si>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</si>
  <si>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</si>
  <si>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</si>
  <si>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</si>
  <si>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</si>
  <si>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</si>
  <si>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</si>
  <si>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</si>
  <si>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</si>
  <si>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</si>
  <si>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</si>
  <si>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</si>
  <si>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</si>
  <si>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</si>
  <si>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</si>
  <si>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</si>
  <si>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</si>
  <si>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</si>
  <si>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</si>
  <si>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</si>
  <si>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</si>
  <si>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</si>
  <si>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</si>
  <si>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</si>
  <si>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</si>
  <si>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</si>
  <si>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</si>
  <si>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</si>
  <si>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III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</si>
  <si>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</si>
  <si>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</si>
  <si>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</si>
  <si>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</si>
  <si>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</si>
  <si>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</si>
  <si>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</si>
  <si>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</si>
  <si>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</si>
  <si>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</si>
  <si>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</si>
  <si>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</si>
  <si>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</si>
  <si>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</si>
  <si>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</si>
  <si>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</si>
  <si>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</si>
  <si>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</si>
  <si>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</si>
  <si>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</si>
  <si>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</si>
  <si>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</si>
  <si>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</si>
  <si>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</si>
  <si>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</si>
  <si>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</si>
  <si>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</si>
  <si>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</si>
  <si>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</si>
  <si>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</si>
  <si>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</si>
  <si>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</si>
  <si>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</si>
  <si>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</si>
  <si>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</si>
  <si>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</si>
  <si>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</si>
  <si>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</si>
  <si>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</si>
  <si>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Aut. per finanz.per investimenti</t>
  </si>
  <si>
    <t>Crediti v/Regione o Provincia Aut. per increm.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</si>
  <si>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</si>
  <si>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</si>
  <si>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</si>
  <si>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</si>
  <si>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</si>
  <si>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</si>
  <si>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</si>
  <si>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</si>
  <si>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</si>
  <si>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</si>
  <si>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</si>
  <si>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</si>
  <si>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IV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</si>
  <si>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</si>
  <si>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</si>
  <si>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</si>
  <si>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</si>
  <si>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</si>
  <si>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</si>
  <si>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</si>
  <si>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</si>
  <si>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</si>
  <si>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</si>
  <si>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</si>
  <si>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</si>
  <si>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</si>
  <si>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</si>
  <si>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</si>
  <si>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</si>
  <si>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</si>
  <si>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</si>
  <si>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</si>
  <si>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</si>
  <si>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</si>
  <si>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</si>
  <si>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</si>
  <si>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>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</si>
  <si>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</si>
  <si>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</si>
  <si>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</si>
  <si>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</si>
  <si>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</si>
  <si>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</si>
  <si>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</si>
  <si>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</si>
  <si>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</si>
  <si>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</si>
  <si>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</si>
  <si>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>V</t>
  </si>
  <si>
    <t xml:space="preserve">Contributi per ripiani perdite </t>
  </si>
  <si>
    <t>VI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</si>
  <si>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</si>
  <si>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</si>
  <si>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</si>
  <si>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</si>
  <si>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</si>
  <si>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</si>
  <si>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</si>
  <si>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</si>
  <si>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</si>
  <si>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</si>
  <si>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</si>
  <si>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</si>
  <si>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</si>
  <si>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</si>
  <si>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</si>
  <si>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</si>
  <si>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</si>
  <si>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</si>
  <si>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</si>
  <si>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</si>
  <si>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</si>
  <si>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</si>
  <si>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</si>
  <si>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</si>
  <si>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</si>
  <si>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</si>
  <si>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</si>
  <si>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</si>
  <si>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</si>
  <si>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</si>
  <si>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</si>
  <si>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</si>
  <si>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</si>
  <si>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</si>
  <si>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</si>
  <si>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</si>
  <si>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</si>
  <si>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</si>
  <si>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</si>
  <si>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</si>
  <si>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</si>
  <si>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</si>
  <si>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 xml:space="preserve"> </t>
  </si>
  <si>
    <t>Totale F)</t>
  </si>
  <si>
    <t>SP</t>
  </si>
  <si>
    <t xml:space="preserve">MODELLO DI RILEVAZIONE DELLO STATO PATRIMONIALE 
ENTI DEL SERVIZIO SANITARIO NAZIONALE
</t>
  </si>
  <si>
    <t>OGGETTO DELLA RILEVAZIONE</t>
  </si>
  <si>
    <t xml:space="preserve">            ANNO</t>
  </si>
  <si>
    <t xml:space="preserve">    TRIMESTRE</t>
  </si>
  <si>
    <t xml:space="preserve">CONSUNTIVO </t>
  </si>
  <si>
    <t>(Centesimo di euro)</t>
  </si>
  <si>
    <t>IMPORTO
2023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</si>
  <si>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</si>
  <si>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</si>
  <si>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</si>
  <si>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</si>
  <si>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</si>
  <si>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</si>
  <si>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</si>
  <si>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>A.I.1.a) Costi di impianto e di ampliamento</t>
  </si>
  <si>
    <t>AAA030</t>
  </si>
  <si>
    <t>A.I.1.b) F.do Amm.to costi di impianto e di ampliamento</t>
  </si>
  <si>
    <t>AAA040</t>
  </si>
  <si>
    <t>A.I.2) Costi di ricerca e sviluppo</t>
  </si>
  <si>
    <t>AAA050</t>
  </si>
  <si>
    <t>A.I.2.a) Costi di ricerca e sviluppo</t>
  </si>
  <si>
    <t>AAA060</t>
  </si>
  <si>
    <t>A.I.2.b) F.do Amm.to costi di ricerca e sviluppo</t>
  </si>
  <si>
    <t>AAA070</t>
  </si>
  <si>
    <t>A.I.3) Diritti di brevetto e diritti di utilizzazione delle opere d'ingegno</t>
  </si>
  <si>
    <t>AAA080</t>
  </si>
  <si>
    <t>A.I.3.a) Diritti di brevetto e diritti di utilizzazione delle opere d'ingegno - derivanti dall'attività di ricerca</t>
  </si>
  <si>
    <t>AAA090</t>
  </si>
  <si>
    <t>A.I.3.b) F.do Amm.to diritti di brevetto e diritti di utilizzazione delle opere d'ingegno - derivanti dall'attività di ricerca</t>
  </si>
  <si>
    <t>AAA100</t>
  </si>
  <si>
    <t>A.I.3.c) Diritti di brevetto e diritti di utilizzazione delle opere d'ingegno - altri</t>
  </si>
  <si>
    <t>AAA110</t>
  </si>
  <si>
    <t>A.I.3.d) F.do Amm.to diritti di brevetto e diritti di utilizzazione delle opere d'ingegno - altri</t>
  </si>
  <si>
    <t>AAA120</t>
  </si>
  <si>
    <t>A.I.4) Immobilizzazioni immateriali in corso e acconti</t>
  </si>
  <si>
    <t>AAA130</t>
  </si>
  <si>
    <t>A.I.5) Altre immobilizzazioni immateriali</t>
  </si>
  <si>
    <t>AAA140</t>
  </si>
  <si>
    <t>A.I.5.a) Concessioni, licenze, marchi e diritti simili</t>
  </si>
  <si>
    <t>AAA150</t>
  </si>
  <si>
    <t>A.I.5.b) F.do Amm.to concessioni, licenze, marchi e diritti simili</t>
  </si>
  <si>
    <t>AAA160</t>
  </si>
  <si>
    <t>A.I.5.c) Migliorie su beni di terzi</t>
  </si>
  <si>
    <t>AAA170</t>
  </si>
  <si>
    <t>A.I.5.d) F.do Amm.to migliorie su beni di terzi</t>
  </si>
  <si>
    <t>AAA180</t>
  </si>
  <si>
    <t>A.I.5.e) Pubblicità</t>
  </si>
  <si>
    <t>AAA190</t>
  </si>
  <si>
    <t>A.I.5.f) F.do Amm.to pubblicità</t>
  </si>
  <si>
    <t>AAA200</t>
  </si>
  <si>
    <t>A.I.5.g) Altre immobilizzazioni immateriali</t>
  </si>
  <si>
    <t>AAA210</t>
  </si>
  <si>
    <t>A.I.5.h) F.do Amm.to altre immobilizzazioni immateriali</t>
  </si>
  <si>
    <t>AAA220</t>
  </si>
  <si>
    <t>A.I.6) Fondo Svalutazione immobilizzazioni immateriali</t>
  </si>
  <si>
    <t>AAA230</t>
  </si>
  <si>
    <t>A.I.6.a) F.do Svalut. Costi di impianto e di ampliamento</t>
  </si>
  <si>
    <t>AAA240</t>
  </si>
  <si>
    <t>A.I.6.b) F.do Svalut. Costi di ricerca e sviluppo</t>
  </si>
  <si>
    <t>AAA250</t>
  </si>
  <si>
    <t>A.I.6.c) F.do Svalut. Diritti di brevetto e diritti di utilizzazione delle opere d'ingegno</t>
  </si>
  <si>
    <t>AAA260</t>
  </si>
  <si>
    <t>A.I.6.d) F.do Svalut. Altre immobilizzazioni immateriali</t>
  </si>
  <si>
    <t>AAA270</t>
  </si>
  <si>
    <t>A.II)IMMOBILIZZAZIONI MATERIALI</t>
  </si>
  <si>
    <t>AAA280</t>
  </si>
  <si>
    <t>A.II.1) Terreni</t>
  </si>
  <si>
    <t>AAA290</t>
  </si>
  <si>
    <t>A.II.1.a) Terreni disponibili</t>
  </si>
  <si>
    <t>AAA300</t>
  </si>
  <si>
    <t>A.II.1.b) Terreni indisponibili</t>
  </si>
  <si>
    <t>AAA310</t>
  </si>
  <si>
    <t>A.II.2) Fabbricati</t>
  </si>
  <si>
    <t>AAA320</t>
  </si>
  <si>
    <t>A.II.2.a) Fabbricati non strumentali (disponibili)</t>
  </si>
  <si>
    <t>AAA330</t>
  </si>
  <si>
    <t>A.II.2.a.1) Fabbricati non strumentali (disponibili)</t>
  </si>
  <si>
    <t>AAA340</t>
  </si>
  <si>
    <t>A.II.2.a.2) F.do Amm.to Fabbricati non strumentali (disponibili)</t>
  </si>
  <si>
    <t>AAA350</t>
  </si>
  <si>
    <t>A.II.2.b) Fabbricati strumentali (indisponibili)</t>
  </si>
  <si>
    <t>AAA360</t>
  </si>
  <si>
    <t>A.II.2.b.1) Fabbricati strumentali (indisponibili)</t>
  </si>
  <si>
    <t>AAA370</t>
  </si>
  <si>
    <t>A.II.2.b.2) F.do Amm.to Fabbricati strumentali (indisponibili)</t>
  </si>
  <si>
    <t>AAA380</t>
  </si>
  <si>
    <t>A.II.3) Impianti e macchinari</t>
  </si>
  <si>
    <t>AAA390</t>
  </si>
  <si>
    <t>A.II.3.a) Impianti e macchinari</t>
  </si>
  <si>
    <t>AAA400</t>
  </si>
  <si>
    <t>A.II.3.b) F.do Amm.to Impianti e macchinari</t>
  </si>
  <si>
    <t>AAA410</t>
  </si>
  <si>
    <t>A.II.4) Attrezzature sanitarie e scientifiche</t>
  </si>
  <si>
    <t>AAA420</t>
  </si>
  <si>
    <t>A.II.4.a) Attrezzature sanitarie e scientifiche</t>
  </si>
  <si>
    <t>AAA430</t>
  </si>
  <si>
    <t>A.II.4.b) F.do Amm.to Attrezzature sanitarie e scientifiche</t>
  </si>
  <si>
    <t>AAA440</t>
  </si>
  <si>
    <t>A.II.5) Mobili e arredi</t>
  </si>
  <si>
    <t>AAA450</t>
  </si>
  <si>
    <t>A.II.5.a) Mobili e arredi</t>
  </si>
  <si>
    <t>AAA460</t>
  </si>
  <si>
    <t>A.II.5.b) F.do Amm.to Mobili e arredi</t>
  </si>
  <si>
    <t>AAA470</t>
  </si>
  <si>
    <t>A.II.6) Automezzi</t>
  </si>
  <si>
    <t>AAA480</t>
  </si>
  <si>
    <t>A.II.6.a) Automezzi</t>
  </si>
  <si>
    <t>AAA490</t>
  </si>
  <si>
    <t>A.II.6.b) F.do Amm.to Automezzi</t>
  </si>
  <si>
    <t>AAA500</t>
  </si>
  <si>
    <t>A.II.7) Oggetti d'arte</t>
  </si>
  <si>
    <t>AAA510</t>
  </si>
  <si>
    <t>A.II.8) Altre immobilizzazioni materiali</t>
  </si>
  <si>
    <t>AAA520</t>
  </si>
  <si>
    <t>A.II.8.a) Altre immobilizzazioni materiali</t>
  </si>
  <si>
    <t>AAA530</t>
  </si>
  <si>
    <t>A.II.8.b) F.do Amm.to Altre immobilizzazioni materiali</t>
  </si>
  <si>
    <t>AAA540</t>
  </si>
  <si>
    <t>A.II.9) Immobilizzazioni materiali in corso e acconti</t>
  </si>
  <si>
    <t>AAA550</t>
  </si>
  <si>
    <t>A.II.10) Fondo Svalutazione immobilizzazioni materiali</t>
  </si>
  <si>
    <t>AAA560</t>
  </si>
  <si>
    <t>A.II.10.a) F.do Svalut. Terreni</t>
  </si>
  <si>
    <t>AAA570</t>
  </si>
  <si>
    <t>A.II.10.b) F.do Svalut. Fabbricati</t>
  </si>
  <si>
    <t>AAA580</t>
  </si>
  <si>
    <t>A.II.10.c) F.do Svalut. Impianti e macchinari</t>
  </si>
  <si>
    <t>AAA590</t>
  </si>
  <si>
    <t>A.II.10.d) F.do Svalut. Attrezzature sanitarie e scientifiche</t>
  </si>
  <si>
    <t>AAA600</t>
  </si>
  <si>
    <t>A.II.10.e) F.do Svalut. Mobili e arredi</t>
  </si>
  <si>
    <t>AAA610</t>
  </si>
  <si>
    <t>A.II.10.f) F.do Svalut. Automezzi</t>
  </si>
  <si>
    <t>AAA620</t>
  </si>
  <si>
    <t>A.II.10.g) F.do Svalut. Oggetti d'arte</t>
  </si>
  <si>
    <t>AAA630</t>
  </si>
  <si>
    <t>A.II.10.h) F.do Svalut. Altre immobilizzazioni materiali</t>
  </si>
  <si>
    <t>AAA640</t>
  </si>
  <si>
    <t>A.III)IMMOBILIZZAZIONI FINANZIARIE</t>
  </si>
  <si>
    <t>AAA650</t>
  </si>
  <si>
    <t>A.III.1) Crediti finanziari</t>
  </si>
  <si>
    <t>AAA660</t>
  </si>
  <si>
    <t>A.III.1.a) Crediti finanziari v/Stato</t>
  </si>
  <si>
    <t>AAA670</t>
  </si>
  <si>
    <t>A.III.1.b) Crediti finanziari v/Regione</t>
  </si>
  <si>
    <t>AAA680</t>
  </si>
  <si>
    <t>A.III.1.c) Crediti finanziari v/partecipate</t>
  </si>
  <si>
    <t>AAA690</t>
  </si>
  <si>
    <t>A.III.1.d) Crediti finanziari v/altri</t>
  </si>
  <si>
    <t>AAA700</t>
  </si>
  <si>
    <t>A.III.2) Titoli</t>
  </si>
  <si>
    <t>AAA710</t>
  </si>
  <si>
    <t>A.III.2.a) Partecipazioni</t>
  </si>
  <si>
    <t>AAA720</t>
  </si>
  <si>
    <t>A.III.2.b) Altri titoli</t>
  </si>
  <si>
    <t>AAA730</t>
  </si>
  <si>
    <t>A.III.2.b.1) Titoli di Stato</t>
  </si>
  <si>
    <t>AAA740</t>
  </si>
  <si>
    <t>A.III.2.b.2) Altre Obbligazioni</t>
  </si>
  <si>
    <t>AAA750</t>
  </si>
  <si>
    <t>A.III.2.b.3) Titoli azionari quotati in Borsa</t>
  </si>
  <si>
    <t>AAA760</t>
  </si>
  <si>
    <t>A.III.2.b.4) Titoli diversi</t>
  </si>
  <si>
    <t>ABZ999</t>
  </si>
  <si>
    <t>B) ATTIVO CIRCOLANTE</t>
  </si>
  <si>
    <t>ABA000</t>
  </si>
  <si>
    <t>B.I) RIMANENZE</t>
  </si>
  <si>
    <t>ABA010</t>
  </si>
  <si>
    <t>B.I.1) Rimanenze beni sanitari</t>
  </si>
  <si>
    <t>ABA020</t>
  </si>
  <si>
    <t>B.I.1.a) Prodotti farmaceutici ed emoderivati</t>
  </si>
  <si>
    <t>ABA030</t>
  </si>
  <si>
    <t>B.I.1.b) Sangue ed emocomponenti</t>
  </si>
  <si>
    <t>ABA040</t>
  </si>
  <si>
    <t>B.I.1.c) Dispositivi medici</t>
  </si>
  <si>
    <t>ABA050</t>
  </si>
  <si>
    <t>B.I.1.d) Prodotti dietetici</t>
  </si>
  <si>
    <t>ABA060</t>
  </si>
  <si>
    <t>B.I.1.e) Materiali per la profilassi (vaccini)</t>
  </si>
  <si>
    <t>ABA070</t>
  </si>
  <si>
    <t>B.I.1.f) Prodotti chimici</t>
  </si>
  <si>
    <t>ABA080</t>
  </si>
  <si>
    <t>B.I.1.g) Materiali e prodotti per uso veterinario</t>
  </si>
  <si>
    <t>ABA090</t>
  </si>
  <si>
    <t>B.I.1.h) Altri beni e prodotti sanitari</t>
  </si>
  <si>
    <t>ABA100</t>
  </si>
  <si>
    <t>B.I.1.i) Acconti per acquisto di beni e prodotti sanitari</t>
  </si>
  <si>
    <t>ABA110</t>
  </si>
  <si>
    <t>B.I.2) Rimanenze beni non sanitari</t>
  </si>
  <si>
    <t>ABA120</t>
  </si>
  <si>
    <t>B.I.2.a) Prodotti alimentari</t>
  </si>
  <si>
    <t>ABA130</t>
  </si>
  <si>
    <t>B.I.2.b) Materiali di guardaroba, di pulizia, e di convivenza in genere</t>
  </si>
  <si>
    <t>ABA140</t>
  </si>
  <si>
    <t>B.I.2.c) Combustibili, carburanti e lubrificanti</t>
  </si>
  <si>
    <t>ABA150</t>
  </si>
  <si>
    <t>B.I.2.d) Supporti informatici e cancelleria</t>
  </si>
  <si>
    <t>ABA160</t>
  </si>
  <si>
    <t>B.I.2.e) Materiale per la manutenzione</t>
  </si>
  <si>
    <t>ABA170</t>
  </si>
  <si>
    <t>B.I.2.f) Altri beni e prodotti non sanitari</t>
  </si>
  <si>
    <t>ABA180</t>
  </si>
  <si>
    <t>B.I.2.g) Acconti per acquisto di beni e prodotti non sanitari</t>
  </si>
  <si>
    <t>ABA190</t>
  </si>
  <si>
    <t xml:space="preserve">B.II) CREDITI </t>
  </si>
  <si>
    <t>ABA200</t>
  </si>
  <si>
    <t>B.II.1) Crediti v/Stato</t>
  </si>
  <si>
    <t>ABA201</t>
  </si>
  <si>
    <t>B.II.1.a) Crediti v/Stato per spesa corrente - FSN indistinto</t>
  </si>
  <si>
    <t>ABA220</t>
  </si>
  <si>
    <t>B.II.1.b) Crediti v/Stato per spesa corrente - FSN vincolato</t>
  </si>
  <si>
    <t>ABA230</t>
  </si>
  <si>
    <t>B.II.1.c) Crediti v/Stato per mobilità attiva extraregionale</t>
  </si>
  <si>
    <t>ABA240</t>
  </si>
  <si>
    <t>B.II.1.d) Crediti v/Stato per mobilità attiva internazionale</t>
  </si>
  <si>
    <t>ABA250</t>
  </si>
  <si>
    <t>B.II.1.e) Crediti v/Stato per acconto quota fabbisogno sanitario regionale standard</t>
  </si>
  <si>
    <t>ABA260</t>
  </si>
  <si>
    <t>B.II.1.f) Crediti v/Stato per finanziamento sanitario aggiuntivo corrente</t>
  </si>
  <si>
    <t>ABA270</t>
  </si>
  <si>
    <t>B.II.1.g) Crediti v/Stato per spesa corrente - altro</t>
  </si>
  <si>
    <t>ABA271</t>
  </si>
  <si>
    <t>B.II.1.h) Crediti v/Stato per spesa corrente per STP (ex D.lgs. 286/98)</t>
  </si>
  <si>
    <t>ABA280</t>
  </si>
  <si>
    <t>B.II.1.i) Crediti v/Stato per finanziamenti per investimenti</t>
  </si>
  <si>
    <t>ABA290</t>
  </si>
  <si>
    <t>B.II.1.j) Crediti v/Stato per ricerca</t>
  </si>
  <si>
    <t>ABA300</t>
  </si>
  <si>
    <t>B.II.1.j.1) Crediti v/Stato per ricerca corrente - Ministero della Salute</t>
  </si>
  <si>
    <t>ABA310</t>
  </si>
  <si>
    <t>B.II.1.j.2) Crediti v/Stato per ricerca finalizzata - Ministero della Salute</t>
  </si>
  <si>
    <t>ABA320</t>
  </si>
  <si>
    <t xml:space="preserve">B.II.1.j.3) Crediti v/Stato per ricerca - altre Amministrazioni centrali </t>
  </si>
  <si>
    <t>ABA330</t>
  </si>
  <si>
    <t>B.II.1.j.4) Crediti v/Stato per ricerca - finanziamenti per investimenti</t>
  </si>
  <si>
    <t>ABA340</t>
  </si>
  <si>
    <t>B.II.1.k)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</si>
  <si>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</si>
  <si>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</si>
  <si>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</si>
  <si>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</si>
  <si>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RR</t>
  </si>
  <si>
    <t>ABA390</t>
  </si>
  <si>
    <t>B.II.2.a.1) Crediti v/Regione o Provincia Autonoma per quota FSR</t>
  </si>
  <si>
    <t>ABA400</t>
  </si>
  <si>
    <t>B.II.2.a.2) Crediti v/Regione o Provincia Autonoma per mobilità attiva intraregionale</t>
  </si>
  <si>
    <t>ABA410</t>
  </si>
  <si>
    <t>B.II.2.a.3) Crediti v/Regione o Provincia Autonoma per mobilità attiva extraregionale</t>
  </si>
  <si>
    <t>ABA420</t>
  </si>
  <si>
    <t>B.II.2.a.4) Crediti v/Regione o Provincia Autonoma per acconto quota FSR</t>
  </si>
  <si>
    <t>ABA430</t>
  </si>
  <si>
    <t>B.II.2.a.5) Crediti v/Regione o Provincia Autonoma per finanziamento sanitario aggiuntivo corrente LEA</t>
  </si>
  <si>
    <t>ABA440</t>
  </si>
  <si>
    <t>B.II.2.a.6) Crediti v/Regione o Provincia Autonoma per finanziamento sanitario aggiuntivo corrente extra LEA</t>
  </si>
  <si>
    <t>ABA450</t>
  </si>
  <si>
    <t>B.II.2.a.7) Crediti v/Regione o Provincia Autonoma per spesa corrente - altro</t>
  </si>
  <si>
    <t>ABA451</t>
  </si>
  <si>
    <t>B.II.2.a.8) Crediti v/Regione o Provincia Autonoma per spesa corrente - STP (ex D.lgs. 286/98)</t>
  </si>
  <si>
    <t>ABA460</t>
  </si>
  <si>
    <t>B.II.2.a.9) Crediti v/Regione o Provincia Autonoma per ricerca</t>
  </si>
  <si>
    <t>ABA461</t>
  </si>
  <si>
    <t>B.II.2.a.10) Crediti v/Regione o Provincia Autonoma per mobilità attiva internazionale</t>
  </si>
  <si>
    <t>ABA470</t>
  </si>
  <si>
    <t>B.II.2.b) Crediti v/Regione o Provincia Autonoma per versamenti a patrimonio netto</t>
  </si>
  <si>
    <t>ABA480</t>
  </si>
  <si>
    <t>B.II.2.b.1) Crediti v/Regione o Provincia Autonoma per finanziamenti per investimenti</t>
  </si>
  <si>
    <t>ABA490</t>
  </si>
  <si>
    <t>B.II.2.b.2) Crediti v/Regione o Provincia Autonoma per incremento fondo dotazione</t>
  </si>
  <si>
    <t>ABA500</t>
  </si>
  <si>
    <t>B.II.2.b.3) Crediti v/Regione o Provincia Autonoma per ripiano perdite</t>
  </si>
  <si>
    <t>ABA501</t>
  </si>
  <si>
    <t>B.II.2.b.4) Crediti v/Regione o Provincia Autonoma per anticipazione ripiano disavanzo programmato dai Piani aziendali di cui all'art. 1, comma 528, L. 208/2015</t>
  </si>
  <si>
    <t>ABA510</t>
  </si>
  <si>
    <t>B.II.2.b.5) Crediti v/Regione per copertura debiti al 31/12/2005</t>
  </si>
  <si>
    <t>ABA520</t>
  </si>
  <si>
    <t>B.II.2.b.6) Crediti v/Regione o Provincia Autonoma per ricostituzione risorse da investimenti esercizi precedenti</t>
  </si>
  <si>
    <t>ABA521</t>
  </si>
  <si>
    <t>B.II.2.c)  Crediti v/Regione o Provincia Autonoma per contributi L. 210/92</t>
  </si>
  <si>
    <t>ABA522</t>
  </si>
  <si>
    <t>B.II.2.d) Crediti v/Regione o Provincia Autonoma per contributi L. 210/92 – aziende sanitarie</t>
  </si>
  <si>
    <t>ABA530</t>
  </si>
  <si>
    <t>B.II.3)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</si>
  <si>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</si>
  <si>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</si>
  <si>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</si>
  <si>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</si>
  <si>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</si>
  <si>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>B.II.4.a.1) Crediti v/Aziende sanitarie pubbliche della Regione - per mobilità in compensazione</t>
  </si>
  <si>
    <t>ABA570</t>
  </si>
  <si>
    <t>B.II.4.a.2) Crediti v/Aziende sanitarie pubbliche della Regione - per mobilità non in compensazione</t>
  </si>
  <si>
    <t>ABA580</t>
  </si>
  <si>
    <t>B.II.4.a.3) Crediti v/Aziende sanitarie pubbliche della Regione - per altre prestazioni</t>
  </si>
  <si>
    <t>ABA590</t>
  </si>
  <si>
    <t>B.II.4.b) Acconto quota FSR da distribuire</t>
  </si>
  <si>
    <t>ABA591</t>
  </si>
  <si>
    <t>B.II.4.c) Crediti v/Aziende sanitarie pubbliche della Regione per anticipazione ripiano disavanzo programmato dai Piani aziendali di cui all'art. 1, comma 528, L. 208/2015</t>
  </si>
  <si>
    <t>ABA600</t>
  </si>
  <si>
    <t>B.II.4.d) Crediti v/Aziende sanitarie pubbliche Extraregione</t>
  </si>
  <si>
    <t>ABA601</t>
  </si>
  <si>
    <t xml:space="preserve">B.II.4.e)  Crediti v/Aziende sanitarie pubbliche della Regione - per Contributi da Aziende sanitarie pubbliche della Regione o Prov. Aut. (extra fondo) </t>
  </si>
  <si>
    <t>ABA610</t>
  </si>
  <si>
    <t>B.II.5) Crediti v/società partecipate e/o enti dipendenti della Regione</t>
  </si>
  <si>
    <t>ABA620</t>
  </si>
  <si>
    <t>B.II.5.a) Crediti v/enti regionali</t>
  </si>
  <si>
    <t>ABA630</t>
  </si>
  <si>
    <t>B.II.5.b) Crediti v/sperimentazioni gestionali</t>
  </si>
  <si>
    <t>ABA640</t>
  </si>
  <si>
    <t>B.II.5.c) Crediti v/altre partecipate</t>
  </si>
  <si>
    <t>ABA650</t>
  </si>
  <si>
    <t>B.II.6) Crediti v/Erario</t>
  </si>
  <si>
    <t>ABA660</t>
  </si>
  <si>
    <t>B.II.7) Crediti v/altri</t>
  </si>
  <si>
    <t>ABA670</t>
  </si>
  <si>
    <t>B.II.7.a) Crediti v/clienti privati</t>
  </si>
  <si>
    <t>ABA680</t>
  </si>
  <si>
    <t>B.II.7.b) Crediti v/gestioni liquidatorie</t>
  </si>
  <si>
    <t>ABA690</t>
  </si>
  <si>
    <t>B.II.7.c) Crediti v/altri soggetti pubblici</t>
  </si>
  <si>
    <t>ABA700</t>
  </si>
  <si>
    <t>B.II.7.d) Crediti v/altri soggetti pubblici per ricerca</t>
  </si>
  <si>
    <t>ABA710</t>
  </si>
  <si>
    <t>B.II.7.e) Altri crediti diversi</t>
  </si>
  <si>
    <t>ABA711</t>
  </si>
  <si>
    <t xml:space="preserve">B.II.7.e.1) Altri Crediti  diversi </t>
  </si>
  <si>
    <t>ABA712</t>
  </si>
  <si>
    <t>B.II.7.e.2) Note di credito da emettere (diverse)</t>
  </si>
  <si>
    <t>ABA713</t>
  </si>
  <si>
    <t>B.II.7.f) Altri Crediti verso erogatori (privati accreditati e convenzionati) di prestazioni sanitarie</t>
  </si>
  <si>
    <t>ABA714</t>
  </si>
  <si>
    <t>B.II.7.f.1) Altri Crediti verso erogatori (privati accreditati e convenzionati) di prestazioni sanitarie</t>
  </si>
  <si>
    <t>ABA715</t>
  </si>
  <si>
    <t>B.II.7.f.2) Note di credito da emettere  (privati accreditati e convenzionati)</t>
  </si>
  <si>
    <t>ABA720</t>
  </si>
  <si>
    <t>B.III) ATTIVITA' FINANZIARIE CHE NON COSTITUISCONO IMMOBILIZZAZIONI</t>
  </si>
  <si>
    <t>ABA730</t>
  </si>
  <si>
    <t>B.III.1) Partecipazioni che non costituiscono immobilizzazioni</t>
  </si>
  <si>
    <t>ABA740</t>
  </si>
  <si>
    <t>B.III.2) Altri titoli che non costituiscono immobilizzazioni</t>
  </si>
  <si>
    <t>ABA750</t>
  </si>
  <si>
    <t>B.IV) DISPONIBILITA' LIQUIDE</t>
  </si>
  <si>
    <t>ABA760</t>
  </si>
  <si>
    <t>B.IV.1) Cassa</t>
  </si>
  <si>
    <t>ABA770</t>
  </si>
  <si>
    <t>B.IV.2) Istituto Tesoriere</t>
  </si>
  <si>
    <t>ABA780</t>
  </si>
  <si>
    <t>B.IV.3) Tesoreria Unica</t>
  </si>
  <si>
    <t>ABA790</t>
  </si>
  <si>
    <t>B.IV.4) Conto corrente postale</t>
  </si>
  <si>
    <t>ACZ999</t>
  </si>
  <si>
    <t>C) RATEI E RISCONTI ATTIVI</t>
  </si>
  <si>
    <t>ACA000</t>
  </si>
  <si>
    <t>C.I) RATEI ATTIVI</t>
  </si>
  <si>
    <t>ACA010</t>
  </si>
  <si>
    <t>C.I.1) Ratei attivi</t>
  </si>
  <si>
    <t>ACA020</t>
  </si>
  <si>
    <t>C.I.2) Ratei attivi v/Aziende sanitarie pubbliche della Regione</t>
  </si>
  <si>
    <t>ACA030</t>
  </si>
  <si>
    <t>C.II) RISCONTI ATTIVI</t>
  </si>
  <si>
    <t>ACA040</t>
  </si>
  <si>
    <t>C.II.1) Risconti attivi</t>
  </si>
  <si>
    <t>ACA050</t>
  </si>
  <si>
    <t>C.II.2) Risconti attivi v/Aziende sanitarie pubbliche della Regione</t>
  </si>
  <si>
    <t>AZZ999</t>
  </si>
  <si>
    <t>D) TOTALE ATTIVO</t>
  </si>
  <si>
    <t>ADZ999</t>
  </si>
  <si>
    <t>E) CONTI D'ORDINE</t>
  </si>
  <si>
    <t>ADA000</t>
  </si>
  <si>
    <t>E.I) CANONI DI LEASING ANCORA DA PAGARE</t>
  </si>
  <si>
    <t>ADA010</t>
  </si>
  <si>
    <t>E.II) DEPOSITI CAUZIONALI</t>
  </si>
  <si>
    <t>ADA020</t>
  </si>
  <si>
    <t>E.III) BENI IN COMODATO</t>
  </si>
  <si>
    <t>ADA021</t>
  </si>
  <si>
    <t>E.IV) CANONI DI PROJECT FINANCING ANCORA DA PAGARE</t>
  </si>
  <si>
    <t>ADA030</t>
  </si>
  <si>
    <t>E.V) ALTRI CONTI D'ORDINE</t>
  </si>
  <si>
    <t>PAZ999</t>
  </si>
  <si>
    <t>A) PATRIMONIO NETTO</t>
  </si>
  <si>
    <t>PAA000</t>
  </si>
  <si>
    <t>A.I) FONDO DI DOTAZIONE</t>
  </si>
  <si>
    <t>PAA010</t>
  </si>
  <si>
    <t>A.II) FINANZIAMENTI PER INVESTIMENTI</t>
  </si>
  <si>
    <t>PAA020</t>
  </si>
  <si>
    <t>A.II.1) Finanziamenti per beni di prima dotazione</t>
  </si>
  <si>
    <t>PAA030</t>
  </si>
  <si>
    <t>A.II.2) Finanziamenti da Stato per investimenti</t>
  </si>
  <si>
    <t>PAA040</t>
  </si>
  <si>
    <t>A.II.2.a) Finanziamenti da Stato per investimenti - ex art. 20 legge 67/88</t>
  </si>
  <si>
    <t>PAA050</t>
  </si>
  <si>
    <t>A.II.2.b) Finanziamenti da Stato per investimenti - ricerca</t>
  </si>
  <si>
    <t>PAA060</t>
  </si>
  <si>
    <t>A.II.2.c) Finanziamenti da Stato per investimenti - altro</t>
  </si>
  <si>
    <t>PAA070</t>
  </si>
  <si>
    <t>A.II.3) Finanziamenti da Regione per investimenti</t>
  </si>
  <si>
    <t>PAA080</t>
  </si>
  <si>
    <t>A.II.4) Finanziamenti da altri soggetti pubblici per investimenti</t>
  </si>
  <si>
    <t>PAA090</t>
  </si>
  <si>
    <t>A.II.5) Finanziamenti per investimenti da rettifica contributi in conto esercizio</t>
  </si>
  <si>
    <t>PAA100</t>
  </si>
  <si>
    <t>A.III) RISERVE DA DONAZIONI E LASCITI VINCOLATI AD INVESTIMENTI</t>
  </si>
  <si>
    <t>PAA110</t>
  </si>
  <si>
    <t>A.IV) ALTRE RISERVE</t>
  </si>
  <si>
    <t>PAA120</t>
  </si>
  <si>
    <t>A.IV.1) Riserve da rivalutazioni</t>
  </si>
  <si>
    <t>PAA130</t>
  </si>
  <si>
    <t>A.IV.2) Riserve da plusvalenze da reinvestire</t>
  </si>
  <si>
    <t>PAA140</t>
  </si>
  <si>
    <t>A.IV.3) Contributi da reinvestire</t>
  </si>
  <si>
    <t>PAA150</t>
  </si>
  <si>
    <t>A.IV.4) Riserve da utili di esercizio destinati ad investimenti</t>
  </si>
  <si>
    <t>PAA160</t>
  </si>
  <si>
    <t>A.IV.5) Riserve diverse</t>
  </si>
  <si>
    <t>PAA170</t>
  </si>
  <si>
    <t>A.V) CONTRIBUTI PER RIPIANO PERDITE</t>
  </si>
  <si>
    <t>PAA180</t>
  </si>
  <si>
    <t>A.V.1) Contributi per copertura debiti al 31/12/2005</t>
  </si>
  <si>
    <t>PAA190</t>
  </si>
  <si>
    <t>A.V.2) Contributi per ricostituzione risorse da investimenti esercizi precedenti</t>
  </si>
  <si>
    <t>PAA200</t>
  </si>
  <si>
    <t>A.V.3) Altro</t>
  </si>
  <si>
    <t>PAA210</t>
  </si>
  <si>
    <t>A.VI) UTILI (PERDITE) PORTATI A NUOVO</t>
  </si>
  <si>
    <t>PAA220</t>
  </si>
  <si>
    <t>A.VII) UTILE (PERDITA) D'ESERCIZIO</t>
  </si>
  <si>
    <t>PBZ999</t>
  </si>
  <si>
    <t>B) FONDI PER RISCHI E ONERI</t>
  </si>
  <si>
    <t>PBA000</t>
  </si>
  <si>
    <t>B.I) FONDI PER IMPOSTE, ANCHE DIFFERITE</t>
  </si>
  <si>
    <t>PBA010</t>
  </si>
  <si>
    <t>B.II) FONDI PER RISCHI</t>
  </si>
  <si>
    <t>PBA020</t>
  </si>
  <si>
    <t>B.II.1) Fondo rischi per cause civili ed oneri processuali</t>
  </si>
  <si>
    <t>PBA030</t>
  </si>
  <si>
    <t>B.II.2) Fondo rischi per contenzioso personale dipendente</t>
  </si>
  <si>
    <t>PBA040</t>
  </si>
  <si>
    <t>B.II.3) Fondo rischi connessi all'acquisto di prestazioni sanitarie da privato</t>
  </si>
  <si>
    <t>PBA050</t>
  </si>
  <si>
    <t>B.II.4) Fondo rischi per copertura diretta dei rischi (autoassicurazione)</t>
  </si>
  <si>
    <t>PBA051</t>
  </si>
  <si>
    <t>B.II.5) Fondo rischi per franchigia assicurativa</t>
  </si>
  <si>
    <t>PBA052</t>
  </si>
  <si>
    <t>B.II.6) Fondo rischi per interessi di mora</t>
  </si>
  <si>
    <t>PBA060</t>
  </si>
  <si>
    <t>B.II.7) Altri fondi rischi</t>
  </si>
  <si>
    <t>PBA070</t>
  </si>
  <si>
    <t>B.III) FONDI DA DISTRIBUIRE</t>
  </si>
  <si>
    <t>PBA080</t>
  </si>
  <si>
    <t>B.III.1) FSR indistinto da distribuire</t>
  </si>
  <si>
    <t>PBA090</t>
  </si>
  <si>
    <t>B.III.2) FSR vincolato da distribuire</t>
  </si>
  <si>
    <t>PBA100</t>
  </si>
  <si>
    <t>B.III.3) Fondo per ripiano disavanzi pregressi</t>
  </si>
  <si>
    <t>PBA110</t>
  </si>
  <si>
    <t>B.III.4) Fondo finanziamento sanitario aggiuntivo corrente LEA</t>
  </si>
  <si>
    <t>PBA120</t>
  </si>
  <si>
    <t>B.III.5) Fondo finanziamento sanitario aggiuntivo corrente extra LEA</t>
  </si>
  <si>
    <t>PBA130</t>
  </si>
  <si>
    <t>B.III.6) Fondo finanziamento per ricerca</t>
  </si>
  <si>
    <t>PBA140</t>
  </si>
  <si>
    <t>B.III.7) Fondo finanziamento per investimenti</t>
  </si>
  <si>
    <t>PBA141</t>
  </si>
  <si>
    <t>B.III.8) Fondo finanziamento sanitario aggiuntivo corrente (extra fondo) - Risorse aggiuntive da bilancio regionale a titolo di copertura extra LEA</t>
  </si>
  <si>
    <t>PBA150</t>
  </si>
  <si>
    <t>B.IV) QUOTE INUTILIZZATE CONTRIBUTI</t>
  </si>
  <si>
    <t>PBA151</t>
  </si>
  <si>
    <t>B.IV.1) Quote inutilizzate contributi da Regione o Prov. Aut. per quota F.S. indistinto finalizzato</t>
  </si>
  <si>
    <t>PBA160</t>
  </si>
  <si>
    <t>B.IV.2) Quote inutilizzate contributi da Regione o Prov. Aut. per quota F.S. vincolato</t>
  </si>
  <si>
    <t>PBA170</t>
  </si>
  <si>
    <t>B.IV.3) Quote inutilizzate contributi vincolati da soggetti pubblici (extra fondo)</t>
  </si>
  <si>
    <t>PBA180</t>
  </si>
  <si>
    <t>B.IV.4) Quote inutilizzate contributi per ricerca</t>
  </si>
  <si>
    <t>PBA190</t>
  </si>
  <si>
    <t>B.IV.5) Quote inutilizzate contributi vincolati da privati</t>
  </si>
  <si>
    <t>PBA200</t>
  </si>
  <si>
    <t>B.V) ALTRI FONDI PER ONERI E SPESE</t>
  </si>
  <si>
    <t>PBA210</t>
  </si>
  <si>
    <t>B.V.1) Fondi integrativi pensione</t>
  </si>
  <si>
    <t>PBA220</t>
  </si>
  <si>
    <t>B.V.2) Fondi rinnovi contrattuali</t>
  </si>
  <si>
    <t>PBA230</t>
  </si>
  <si>
    <t xml:space="preserve">B.V.2.a) Fondo rinnovi contrattuali personale dipendente </t>
  </si>
  <si>
    <t>PBA240</t>
  </si>
  <si>
    <t>B.V.2.b) Fondo rinnovi convenzioni MMG/PLS/MCA</t>
  </si>
  <si>
    <t>PBA250</t>
  </si>
  <si>
    <t>B.V.2.c) Fondo rinnovi convenzioni medici Sumai</t>
  </si>
  <si>
    <t>PBA260</t>
  </si>
  <si>
    <t>B.V.3) Altri fondi per oneri e spese</t>
  </si>
  <si>
    <t>PBA270</t>
  </si>
  <si>
    <t>B.V.4) Altri Fondi incentivi funzioni tecniche Art. 113 D.Lgs 50/2016</t>
  </si>
  <si>
    <t>PCZ999</t>
  </si>
  <si>
    <t>C) TRATTAMENTO FINE RAPPORTO</t>
  </si>
  <si>
    <t>PCA000</t>
  </si>
  <si>
    <t>C.I) FONDO PER PREMI OPEROSITA' MEDICI SUMAI</t>
  </si>
  <si>
    <t>PCA010</t>
  </si>
  <si>
    <t>C.II) FONDO PER TRATTAMENTO DI FINE RAPPORTO DIPENDENTI</t>
  </si>
  <si>
    <t>PCA020</t>
  </si>
  <si>
    <t>C.III) FONDO PER TRATTAMENTI DI QUIESCENZA E SIMILI</t>
  </si>
  <si>
    <t>PDZ999</t>
  </si>
  <si>
    <t>D) DEBITI</t>
  </si>
  <si>
    <t>PDA000</t>
  </si>
  <si>
    <t>D.I) DEBITI PER MUTUI PASSIVI</t>
  </si>
  <si>
    <t>PDA010</t>
  </si>
  <si>
    <t>D.II) DEBITI V/STATO</t>
  </si>
  <si>
    <t>PDA020</t>
  </si>
  <si>
    <t>D.II.1) Debiti v/Stato per mobilità passiva extraregionale</t>
  </si>
  <si>
    <t>PDA030</t>
  </si>
  <si>
    <t>D.II.2) Debiti v/Stato per mobilità passiva internazionale</t>
  </si>
  <si>
    <t>PDA040</t>
  </si>
  <si>
    <t>D.II.3) Acconto quota FSR v/Stato</t>
  </si>
  <si>
    <t>PDA050</t>
  </si>
  <si>
    <t>D.II.4) Debiti v/Stato per restituzione finanziamenti - per ricerca</t>
  </si>
  <si>
    <t>PDA060</t>
  </si>
  <si>
    <t>D.II.5) Altri debiti v/Stato</t>
  </si>
  <si>
    <t>PDA070</t>
  </si>
  <si>
    <t>D.III) DEBITI V/REGIONE O PROVINCIA AUTONOMA</t>
  </si>
  <si>
    <t>PDA080</t>
  </si>
  <si>
    <t>D.III.1) Debiti v/Regione o Provincia Autonoma per finanziamenti - GSA</t>
  </si>
  <si>
    <t>PDA081</t>
  </si>
  <si>
    <t>D.III.2) Debiti v/Regione o Provincia Autonoma per finanziamenti</t>
  </si>
  <si>
    <t>PDA090</t>
  </si>
  <si>
    <t>D.III.3) Debiti v/Regione o Provincia Autonoma per mobilità passiva intraregionale</t>
  </si>
  <si>
    <t>PDA100</t>
  </si>
  <si>
    <t>D.III.4) Debiti v/Regione o Provincia Autonoma per mobilità passiva extraregionale</t>
  </si>
  <si>
    <t>PDA101</t>
  </si>
  <si>
    <t>D.III.5) Debiti v/Regione o Provincia Autonoma per mobilità passiva internazionale</t>
  </si>
  <si>
    <t>PDA110</t>
  </si>
  <si>
    <t>D.III.6) Acconto quota FSR da Regione o Provincia Autonoma</t>
  </si>
  <si>
    <t>PDA111</t>
  </si>
  <si>
    <t>D.III.7) Acconto da Regione o Provincia Autonoma per anticipazione ripiano disavanzo programmato dai Piani aziendali di cui all'art. 1, comma 528, L. 208/2015</t>
  </si>
  <si>
    <t>PDA112</t>
  </si>
  <si>
    <t xml:space="preserve">D.III.8) Debiti v/Regione o Provincia Autonoma per contributi L. 210/92 </t>
  </si>
  <si>
    <t>PDA120</t>
  </si>
  <si>
    <t>D.III.9) Altri debiti v/Regione o Provincia Autonoma – GSA</t>
  </si>
  <si>
    <t>PDA121</t>
  </si>
  <si>
    <t>D.III.10) Altri debiti v/Regione o Provincia Autonoma</t>
  </si>
  <si>
    <t>PDA130</t>
  </si>
  <si>
    <t>D.IV) DEBITI V/COMUNI</t>
  </si>
  <si>
    <t>PDA140</t>
  </si>
  <si>
    <t>D.V) DEBITI V/AZIENDE SANITARIE PUBBLICHE</t>
  </si>
  <si>
    <t>PDA150</t>
  </si>
  <si>
    <t>D.V.1) Debiti v/Aziende sanitarie pubbliche della Regione</t>
  </si>
  <si>
    <t>PDA160</t>
  </si>
  <si>
    <t>D.V.1.a) Debiti v/Aziende sanitarie pubbliche della Regione - per quota FSR</t>
  </si>
  <si>
    <t>PDA170</t>
  </si>
  <si>
    <t>D.V.1.b) Debiti v/Aziende sanitarie pubbliche della Regione - per finanziamento sanitario aggiuntivo corrente LEA</t>
  </si>
  <si>
    <t>PDA180</t>
  </si>
  <si>
    <t>D.V.1.c) Debiti v/Aziende sanitarie pubbliche della Regione - per finanziamento sanitario aggiuntivo corrente extra LEA</t>
  </si>
  <si>
    <t>PDA190</t>
  </si>
  <si>
    <t>D.V.1.d) Debiti v/Aziende sanitarie pubbliche della Regione - per mobilità in compensazione</t>
  </si>
  <si>
    <t>PDA200</t>
  </si>
  <si>
    <t>D.V.1.e) Debiti v/Aziende sanitarie pubbliche della Regione - per mobilità non in compensazione</t>
  </si>
  <si>
    <t>PDA210</t>
  </si>
  <si>
    <t>D.V.1.f) Debiti v/Aziende sanitarie pubbliche della Regione - per altre prestazioni</t>
  </si>
  <si>
    <t>PDA211</t>
  </si>
  <si>
    <t>D.V.1.g) Debiti v/Aziende sanitarie pubbliche della Regione - altre prestazioni per STP</t>
  </si>
  <si>
    <t>PDA212</t>
  </si>
  <si>
    <t xml:space="preserve">D.V.1.h)  Debiti v/Aziende sanitarie pubbliche della Regione - per Contributi da Aziende sanitarie pubbliche della Regione o Prov. Aut. (extra fondo) </t>
  </si>
  <si>
    <t>PDA213</t>
  </si>
  <si>
    <t xml:space="preserve">D.V.1.i) Debiti v/Aziende sanitarie pubbliche della Regione - per contributi L. 210/92 </t>
  </si>
  <si>
    <t>PDA220</t>
  </si>
  <si>
    <t xml:space="preserve">D.V.2) Debiti v/Aziende sanitarie pubbliche Extraregione </t>
  </si>
  <si>
    <t>PDA230</t>
  </si>
  <si>
    <t>D.V.3) Debiti v/Aziende sanitarie pubbliche della Regione per versamenti c/patrimonio netto</t>
  </si>
  <si>
    <t>PDA231</t>
  </si>
  <si>
    <t>D.V.3.a) Debiti v/Aziende sanitarie pubbliche della Regione per versamenti c/patrimonio netto - finanziamenti per investimenti</t>
  </si>
  <si>
    <t>PDA232</t>
  </si>
  <si>
    <t>D.V.3.b) Debiti v/Aziende sanitarie pubbliche della Regione per versamenti c/patrimonio netto - incremento fondo dotazione</t>
  </si>
  <si>
    <t>PDA233</t>
  </si>
  <si>
    <t>D.V.3.c) Debiti v/Aziende sanitarie pubbliche della Regione per versamenti c/patrimonio netto - ripiano perdite</t>
  </si>
  <si>
    <t>PDA234</t>
  </si>
  <si>
    <t>D.V.3.d) Debiti v/Aziende sanitarie pubbliche della Regione per anticipazione ripiano disavanzo programmato dai Piani aziendali di cui all'art. 1, comma 528, L. 208/2015</t>
  </si>
  <si>
    <t>PDA235</t>
  </si>
  <si>
    <t>D.V.3.e) 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</si>
  <si>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</si>
  <si>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</si>
  <si>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</si>
  <si>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>D.VI.1) Debiti v/enti regionali</t>
  </si>
  <si>
    <t>PDA260</t>
  </si>
  <si>
    <t>D.VI.2) Debiti v/sperimentazioni gestionali</t>
  </si>
  <si>
    <t>PDA270</t>
  </si>
  <si>
    <t>D.VI.3) Debiti v/altre partecipate</t>
  </si>
  <si>
    <t>PDA280</t>
  </si>
  <si>
    <t>D.VII) DEBITI V/FORNITORI</t>
  </si>
  <si>
    <t>PDA290</t>
  </si>
  <si>
    <t xml:space="preserve">D.VII.1) Debiti verso erogatori (privati accreditati e convenzionati) di prestazioni sanitarie </t>
  </si>
  <si>
    <t>PDA291</t>
  </si>
  <si>
    <t xml:space="preserve">D.VII.1.a) Debiti verso erogatori (privati accreditati e convenzionati) di prestazioni sanitarie </t>
  </si>
  <si>
    <t>PDA292</t>
  </si>
  <si>
    <t>D.VII.1.b) Note di credito da ricevere (privati accreditati e convenzionati)</t>
  </si>
  <si>
    <t>PDA300</t>
  </si>
  <si>
    <t>D.VII.2) Debiti verso altri fornitori</t>
  </si>
  <si>
    <t>PDA301</t>
  </si>
  <si>
    <t>D.VII.2.a) Debiti verso altri fornitori</t>
  </si>
  <si>
    <t>PDA302</t>
  </si>
  <si>
    <t>D.VII.2.b) Note di credito da ricevere (altri fornitori)</t>
  </si>
  <si>
    <t>PDA310</t>
  </si>
  <si>
    <t>D.VIII) DEBITI V/ISTITUTO TESORIERE</t>
  </si>
  <si>
    <t>PDA320</t>
  </si>
  <si>
    <t>D.IX) DEBITI TRIBUTARI</t>
  </si>
  <si>
    <t>PDA330</t>
  </si>
  <si>
    <t>D.X) DEBITI V/ISTITUTI PREVIDENZIALI, ASSISTENZIALI E SICUREZZA SOCIALE</t>
  </si>
  <si>
    <t>PDA340</t>
  </si>
  <si>
    <t>D.XI) DEBITI V/ALTRI</t>
  </si>
  <si>
    <t>PDA350</t>
  </si>
  <si>
    <t>D.XI.1) Debiti v/altri finanziatori</t>
  </si>
  <si>
    <t>PDA360</t>
  </si>
  <si>
    <t>D.XI.2) Debiti v/dipendenti</t>
  </si>
  <si>
    <t>PDA370</t>
  </si>
  <si>
    <t>D.XI.3) Debiti v/gestioni liquidatorie</t>
  </si>
  <si>
    <t>PDA380</t>
  </si>
  <si>
    <t>D.XI.4) Altri debiti diversi</t>
  </si>
  <si>
    <t>PEZ999</t>
  </si>
  <si>
    <t>E) RATEI E RISCONTI PASSIVI</t>
  </si>
  <si>
    <t>PEA000</t>
  </si>
  <si>
    <t>E.I) RATEI PASSIVI</t>
  </si>
  <si>
    <t>PEA010</t>
  </si>
  <si>
    <t>E.I.1) Ratei passivi</t>
  </si>
  <si>
    <t>PEA020</t>
  </si>
  <si>
    <t>E.I.2) Ratei passivi v/Aziende sanitarie pubbliche della Regione</t>
  </si>
  <si>
    <t>PEA030</t>
  </si>
  <si>
    <t>E.II) RISCONTI PASSIVI</t>
  </si>
  <si>
    <t>PEA040</t>
  </si>
  <si>
    <t>E.II.1) Risconti passivi</t>
  </si>
  <si>
    <t>PEA050</t>
  </si>
  <si>
    <t>E.II.2) Risconti passivi v/Aziende sanitarie pubbliche della Regione</t>
  </si>
  <si>
    <t>PEA060</t>
  </si>
  <si>
    <t>E.II.3) Risconti passivi - in attuazione dell’art.79, comma 1 sexies lettera c), del D.L. 112/2008, convertito con legge 133/2008 e della legge 23 dicembre 2009 n. 191</t>
  </si>
  <si>
    <t>PZZ999</t>
  </si>
  <si>
    <t>F) TOTALE PASSIVO E PATRIMONIO NETTO</t>
  </si>
  <si>
    <t>PFZ999</t>
  </si>
  <si>
    <t>G) CONTI D'ORDINE</t>
  </si>
  <si>
    <t>PFA000</t>
  </si>
  <si>
    <t>G.I) CANONI DI LEASING ANCORA DA PAGARE</t>
  </si>
  <si>
    <t>PFA010</t>
  </si>
  <si>
    <t>G.II) DEPOSITI CAUZIONALI</t>
  </si>
  <si>
    <t>PFA020</t>
  </si>
  <si>
    <t>G.III) BENI IN COMODATO</t>
  </si>
  <si>
    <t>PFA021</t>
  </si>
  <si>
    <t>G.IV) CANONI DI PROJECT FINANCING ANCORA DA PAGARE</t>
  </si>
  <si>
    <t>PFA030</t>
  </si>
  <si>
    <t>G.V) ALTRI CONTI D'ORDINE</t>
  </si>
  <si>
    <t>Importo
2023</t>
  </si>
  <si>
    <t>Costi di impianto e di ampliamento</t>
  </si>
  <si>
    <t>F.do Amm.to costi di impianto e di ampliamento</t>
  </si>
  <si>
    <t>Costi di ricerca e sviluppo</t>
  </si>
  <si>
    <t>F.do Amm.to costi di ricerca e sviluppo</t>
  </si>
  <si>
    <t>Diritti di brevetto e diritti di utilizzazione delle opere d'ingegno - derivanti dall'attività di ricerca</t>
  </si>
  <si>
    <t>F.do Amm.to diritti di brevetto e diritti di utilizzazione delle opere d'ingegno - derivanti dall'attività di ricerca</t>
  </si>
  <si>
    <t>Diritti di brevetto e diritti di utilizzazione delle opere d'ingegno - altri</t>
  </si>
  <si>
    <t>F.do Amm.to diritti di brevetto e diritti di utilizzazione delle opere d'ingegno - altri</t>
  </si>
  <si>
    <t>Concessioni, licenze, marchi e diritti simili</t>
  </si>
  <si>
    <t>F.do Amm.to concessioni, licenze, marchi e diritti simili</t>
  </si>
  <si>
    <t>Migliorie su beni di terzi</t>
  </si>
  <si>
    <t>F.do Amm.to migliorie su beni di terzi</t>
  </si>
  <si>
    <t>Pubblicità</t>
  </si>
  <si>
    <t>F.do Amm.to pubblicità</t>
  </si>
  <si>
    <t>F.do Amm.to altre immobilizzazioni immateriali</t>
  </si>
  <si>
    <t>F.do Svalut. Costi di impianto e di ampliamento</t>
  </si>
  <si>
    <t>F.do Svalut. Costi di ricerca e sviluppo</t>
  </si>
  <si>
    <t>F.do Svalut. Diritti di brevetto e diritti di utilizzazione delle opere d'ingegno</t>
  </si>
  <si>
    <t>F.do Svalut. Altre immobilizzazioni immateriali</t>
  </si>
  <si>
    <t>F.do Amm.to Fabbricati non strumentali (disponibili)</t>
  </si>
  <si>
    <t>F.do Amm.to Fabbricati strumentali (indisponibili)</t>
  </si>
  <si>
    <t>F.do Amm.to Impianti e macchinari</t>
  </si>
  <si>
    <t>F.do Amm.to Attrezzature sanitarie e scientifiche</t>
  </si>
  <si>
    <t>F.do Amm.to Mobili e arredi</t>
  </si>
  <si>
    <t>F.do Amm.to Automezzi</t>
  </si>
  <si>
    <t>F.do Amm.to Altre immobilizzazioni materiali</t>
  </si>
  <si>
    <t>F.do Svalut. Terreni disponibili</t>
  </si>
  <si>
    <t>F.do Svalut. Terreni indisponibili</t>
  </si>
  <si>
    <t>F.do Svalut. Fabbricati disponibili</t>
  </si>
  <si>
    <t>F.do Svalut. Fabbricati indisponibili</t>
  </si>
  <si>
    <t>F.do Svalut. Impianti e macchinari</t>
  </si>
  <si>
    <t>F.do Svalut. Attrezzature sanitarie e scientifiche</t>
  </si>
  <si>
    <t>F.do Svalut. Mobili e arredi</t>
  </si>
  <si>
    <t>F.do Svalut. Automezzi</t>
  </si>
  <si>
    <t>F.do Svalut. Oggetti d'arte</t>
  </si>
  <si>
    <t>F.do Svalut. Altre immobilizzazioni materiali</t>
  </si>
  <si>
    <t>Fondo svalutazione Crediti finanziari v/Stato</t>
  </si>
  <si>
    <t>Fondo svalutazione Crediti finanziari v/Regione</t>
  </si>
  <si>
    <t>Fondo svalutazione Crediti finanziari v/partecipate</t>
  </si>
  <si>
    <t>per contributi in conto capitale su gestioni pregresse (ASSR e altri)</t>
  </si>
  <si>
    <t>per contributi in conto capitale su gestioni liquidatorie (ASSR e altri)</t>
  </si>
  <si>
    <t>Altri crediti (ASSR e altri)</t>
  </si>
  <si>
    <t>Fondo svalutazione Crediti finanziari v/altri</t>
  </si>
  <si>
    <t>Titoli di Stato</t>
  </si>
  <si>
    <t>Altre Obbligazioni</t>
  </si>
  <si>
    <t>Titoli azionari quotati in Borsa</t>
  </si>
  <si>
    <t>Titoli diversi</t>
  </si>
  <si>
    <t>Acconti per acquisto di beni e prodotti sanitari</t>
  </si>
  <si>
    <t>Acconti per acquisto di beni e prodotti non sanitari</t>
  </si>
  <si>
    <t>Crediti v/Stato per spesa corrente - FSN indistinto</t>
  </si>
  <si>
    <t>Fondo Svalutazione Crediti v/Stato per spesa corrente - FSN indistinto</t>
  </si>
  <si>
    <t>Crediti v/Stato per spesa corrente - FSN vincolato</t>
  </si>
  <si>
    <t>Fondo Svalutazione Crediti v/Stato per spesa corrente - FSN vincolato</t>
  </si>
  <si>
    <t>Crediti v/Stato per mobilità attiva extraregionale</t>
  </si>
  <si>
    <t>Fondo Svalutazione Crediti v/Stato per mobilità attiva extraregionale</t>
  </si>
  <si>
    <t>Crediti v/Stato per mobilità attiva internazionale</t>
  </si>
  <si>
    <t>Fondo Svalutazione Crediti v/Stato per mobilità attiva internazionale</t>
  </si>
  <si>
    <t>Crediti v/Stato per acconto quota fabbisogno sanitario regionale standard</t>
  </si>
  <si>
    <t>Fondo Svalutazione Crediti v/Stato per acconto quota fabbisogno sanitario regionale standard</t>
  </si>
  <si>
    <t>Crediti v/Stato per finanziamento sanitario aggiuntivo corrente</t>
  </si>
  <si>
    <t>Fondo Svalutazione Crediti v/Stato per finanziamento sanitario aggiuntivo corrente</t>
  </si>
  <si>
    <t>Crediti v/Stato per spesa corrente - altro</t>
  </si>
  <si>
    <t>Fondo Svalutazione  Crediti v/Stato per spesa corrente - altro</t>
  </si>
  <si>
    <t>Crediti v/Stato per spesa corrente per STP (ex D.lgs. 286/98)</t>
  </si>
  <si>
    <t>Fondo Svalutazione Crediti v/Stato per spesa corrente per STP (ex D.lgs. 286/98)</t>
  </si>
  <si>
    <t>Crediti v/Stato per finanziamenti per investimenti</t>
  </si>
  <si>
    <t>Fondo Svalutazione Crediti v/Stato per finanziamenti per investimenti</t>
  </si>
  <si>
    <t>Crediti v/Stato per ricerca corrente - Ministero della Salute</t>
  </si>
  <si>
    <t>Fondo Svalutazione Crediti v/Stato per ricerca corrente - Ministero della Salute</t>
  </si>
  <si>
    <t>Crediti v/Stato per ricerca finalizzata - Ministero della Salute</t>
  </si>
  <si>
    <t>Fondo Svalutazione Crediti v/Stato per ricerca finalizzata - Ministero della Salute</t>
  </si>
  <si>
    <t>Crediti verso ministero dell'università</t>
  </si>
  <si>
    <t>Crediti verso ministero della difesa</t>
  </si>
  <si>
    <t>Crediti v/Stato per ricerca - finanziamenti per investimenti</t>
  </si>
  <si>
    <t>Fondo Svalutazione Crediti v/Stato per ricerca - finanziamenti per investimenti</t>
  </si>
  <si>
    <t>Crediti verso prefetture</t>
  </si>
  <si>
    <t>Fondo Svalutazione Crediti v/prefetture</t>
  </si>
  <si>
    <t>Crediti v/Regione o Provincia Autonoma per quota FSR</t>
  </si>
  <si>
    <t>Fondo Svalutazione Crediti v/Regione o Provincia Autonoma per quota FSR</t>
  </si>
  <si>
    <t>Crediti v/Regione o Provincia Autonoma per mobilità attiva intraregionale</t>
  </si>
  <si>
    <t>Fondo Svalutazione  Crediti v/Regione o Provincia Autonoma per mobilità attiva intraregionale</t>
  </si>
  <si>
    <t>Crediti v/Regione o Provincia Autonoma per mobilità attiva extraregionale</t>
  </si>
  <si>
    <t>Fondo Svalutazione  Crediti v/Regione o Provincia Autonoma per mobilità attiva extraregionale</t>
  </si>
  <si>
    <t>Crediti v/Regione o Provincia Autonoma per acconto quota FSR</t>
  </si>
  <si>
    <t>Fondo Svalutazione  Crediti v/Regione o Provincia Autonoma per acconto quota FSR</t>
  </si>
  <si>
    <t>Crediti v/Regione o Provincia Autonoma per finanziamento sanitario aggiuntivo corrente LEA</t>
  </si>
  <si>
    <t>Fondo Svalutazione Crediti v/Regione o Provincia Autonoma per finanziamento sanitario aggiuntivo corrente LEA</t>
  </si>
  <si>
    <t>Crediti v/Regione o Provincia Autonoma per finanziamento sanitario aggiuntivo corrente extra LEA</t>
  </si>
  <si>
    <t>Fondo Svalutazione  Crediti v/Regione o Provincia Autonoma per finanziamento sanitario aggiuntivo corrente extra LEA</t>
  </si>
  <si>
    <t>Crediti v/Regione o Provincia Autonoma per spesa corrente - altro</t>
  </si>
  <si>
    <t>Fondo Svalutazione  Crediti v/Regione o Provincia Autonoma per spesa corrente - altro</t>
  </si>
  <si>
    <t>Crediti v/Regione o Provincia Autonoma per spesa corrente - STP (ex D.lgs. 286/98)</t>
  </si>
  <si>
    <t>Fondo Svalutazione Crediti v/Regione o Provincia Autonoma per spesa corrente - STP (ex D.lgs. 286/98)</t>
  </si>
  <si>
    <t>Crediti v/Regione o Provincia Autonoma per ricerca - vincolati a progetti europei</t>
  </si>
  <si>
    <t>Crediti v/Regione o Provincia Autonoma per ricerca -  vincolati a progetti ministeriali</t>
  </si>
  <si>
    <t>Crediti v/Regione o Provincia Autonoma per ricerca - quota regionale</t>
  </si>
  <si>
    <t>Crediti v/Regione o Provincia Autonoma per ricerca - Altro</t>
  </si>
  <si>
    <t>Fondo Svalutazione Crediti v/Regione o Provincia Autonoma per ricerca</t>
  </si>
  <si>
    <t>Crediti v/Regione o Provincia Autonoma per mobilità attiva internazionale</t>
  </si>
  <si>
    <t>Fondo Svalutazione Crediti v/Regione o Provincia Autonoma per mobilità attiva internazionale</t>
  </si>
  <si>
    <t>Crediti v/Regione o Provincia Autonoma per finanziamenti per investimenti</t>
  </si>
  <si>
    <t>Fondo Svalutazione Crediti v/Regione o Provincia Autonoma per finanziamenti per investimenti</t>
  </si>
  <si>
    <t>Crediti v/Regione o Provincia Autonoma per incremento fondo dotazione</t>
  </si>
  <si>
    <t>Fondo Svalutazione Crediti v/Regione o Provincia Autonoma per incremento fondo dotazione</t>
  </si>
  <si>
    <t>Fondo Svalutazione Crediti v/Regione o Provincia Autonoma per ripiano perdite</t>
  </si>
  <si>
    <t>Crediti v/Regione o Provincia Autonoma per anticipazione ripiano disavanzo programmato dai Piani aziendali di cui all'art. 1, comma 528, L. 208/2015</t>
  </si>
  <si>
    <t>Crediti v/Regione per copertura debiti al 31/12/2005</t>
  </si>
  <si>
    <t>Fondo Svalutazione Crediti v/Regione per copertura debiti al 31/12/2005</t>
  </si>
  <si>
    <t>Fondo Svalutazione Crediti v/Regione o Provincia Autonoma per ricostituzione risorse da investimenti esercizi precedenti</t>
  </si>
  <si>
    <t>Crediti v/Regione o Provincia Autonoma per contributi L. 210/92 – aziende sanitarie</t>
  </si>
  <si>
    <t>Crediti v/comuni</t>
  </si>
  <si>
    <t>Fondo Svalutazione Crediti v/Comuni</t>
  </si>
  <si>
    <t>Crediti v/Aziende sanitarie pubbliche della Regione - per mobilità in compensazione</t>
  </si>
  <si>
    <t>Crediti v/Aziende sanitarie pubbliche della Regione - per mobilità non in compensazione</t>
  </si>
  <si>
    <t>Crediti v/Aziende sanitarie pubbliche della Regione - per altre prestazioni</t>
  </si>
  <si>
    <t>Acconto quota FSR da distribuire</t>
  </si>
  <si>
    <t>Crediti v/Aziende sanitarie pubbliche Extraregione</t>
  </si>
  <si>
    <t>Fondo Svalutazione Crediti v/Aziende sanitarie pubbliche Extraregione</t>
  </si>
  <si>
    <t>Crediti v/enti regionali</t>
  </si>
  <si>
    <t>Fondo Svalutazione Crediti v/enti regionali</t>
  </si>
  <si>
    <t>Crediti v/sperimentazioni gestionali</t>
  </si>
  <si>
    <t>Fondo Svalutazione Crediti v/sperimentazioni gestionali</t>
  </si>
  <si>
    <t>Crediti v/altre partecipate</t>
  </si>
  <si>
    <t>Fondo Svalutazione Crediti v/altre partecipate</t>
  </si>
  <si>
    <t>IVA a Credito</t>
  </si>
  <si>
    <t>IVA a Credito per acquisti Infra CEE</t>
  </si>
  <si>
    <t>IVA a Credito per autofatture</t>
  </si>
  <si>
    <t>Imposte varie</t>
  </si>
  <si>
    <t>Fondo Svalutazione Crediti v/Erario</t>
  </si>
  <si>
    <t>Privati paganti</t>
  </si>
  <si>
    <t>Crediti verso soggetti esteri</t>
  </si>
  <si>
    <t>Altri crediti v/clienti privati</t>
  </si>
  <si>
    <t>Fondo Svalutazione Crediti v/clienti privati</t>
  </si>
  <si>
    <t>Crediti v/gestioni liquidatorie</t>
  </si>
  <si>
    <t>Fondo Svalutazione Crediti v/gestioni liquidatorie</t>
  </si>
  <si>
    <t>Crediti verso enti previdenziali per acconti pensione</t>
  </si>
  <si>
    <t>Crediti verso altre amministrazioni pubbliche</t>
  </si>
  <si>
    <t>Fondo Svalutazione Crediti v/altri soggetti pubblici</t>
  </si>
  <si>
    <t>Crediti v/altri soggetti pubblici per ricerca</t>
  </si>
  <si>
    <t>Fondo Svalutazione Crediti v/altri soggetti pubblici per ricerca</t>
  </si>
  <si>
    <t>Acconti, anticipi a personale</t>
  </si>
  <si>
    <t>Altri crediti verso personale</t>
  </si>
  <si>
    <t>Acconti a farmacie</t>
  </si>
  <si>
    <t>Acconti a fornitori</t>
  </si>
  <si>
    <t>Altri crediti diversi</t>
  </si>
  <si>
    <t>Fondo Svalutazione Altri crediti diversi</t>
  </si>
  <si>
    <t>Fondo Svalutazione  Altri Crediti verso erogatori (privati accreditati e convenzionati) di prestazioni sanitarie</t>
  </si>
  <si>
    <t>Note di credito da emettere (diversi)</t>
  </si>
  <si>
    <t>Altri Crediti verso erogatori (privati accreditati e convenzionati) di prestazioni sanitarie</t>
  </si>
  <si>
    <t>Note di credito da emettere  (privati accreditati e convenzionati)</t>
  </si>
  <si>
    <t>Partecipazioni in imprese controllate</t>
  </si>
  <si>
    <t>Partecipazioni in imprese collegate</t>
  </si>
  <si>
    <t>Partecipazioni in altre imprese</t>
  </si>
  <si>
    <t>Cassa economale</t>
  </si>
  <si>
    <t>Cassa prestazioni</t>
  </si>
  <si>
    <t>c/c di tesoreria</t>
  </si>
  <si>
    <t>c/c di tesoreria - delega</t>
  </si>
  <si>
    <t>Interessi attivi da liquidare</t>
  </si>
  <si>
    <t>Conti transitori</t>
  </si>
  <si>
    <t>Incassi c/transitorio</t>
  </si>
  <si>
    <t>Pagamenti c/transitorio</t>
  </si>
  <si>
    <t>Giroconti interni</t>
  </si>
  <si>
    <t>Giroconti note</t>
  </si>
  <si>
    <t>Giroconti cauzioni</t>
  </si>
  <si>
    <t>Giroconti documenti pagati</t>
  </si>
  <si>
    <t>Giroconti protocolli errati</t>
  </si>
  <si>
    <t>Giroconti ritenute personale dipendente</t>
  </si>
  <si>
    <t>Giroconti ritenute personale esterno</t>
  </si>
  <si>
    <t>Giroconti ritenute personale convenzionato</t>
  </si>
  <si>
    <t>Giroconti ritenute personale altro</t>
  </si>
  <si>
    <t>Giroconti c/c postale</t>
  </si>
  <si>
    <t>Ratei attivi v/Aziende sanitarie pubbliche della Regione</t>
  </si>
  <si>
    <t>Risconti attivi v/Aziende sanitarie pubbliche della Regione</t>
  </si>
  <si>
    <t>FONDO DI DOTAZIONE</t>
  </si>
  <si>
    <t>Finanziamenti da Stato per investimenti - ricerca</t>
  </si>
  <si>
    <t>Finanziamenti da Stato per investimenti - altro</t>
  </si>
  <si>
    <t>Contributi regionali in c/capitale indistinti</t>
  </si>
  <si>
    <t>Contributi regionali in c/capitale vincolati</t>
  </si>
  <si>
    <t>Contributi per rimborso mutui</t>
  </si>
  <si>
    <t>Altri contributi</t>
  </si>
  <si>
    <t>RISERVE DA DONAZIONI E LASCITI VINCOLATI AD INVESTIMENTI</t>
  </si>
  <si>
    <t>Riserve da rivalutazioni</t>
  </si>
  <si>
    <t>Riserve da plusvalenze da reinvestire</t>
  </si>
  <si>
    <t>Contributi da reinvestire</t>
  </si>
  <si>
    <t>Riserve da utili di esercizio destinati ad investimenti</t>
  </si>
  <si>
    <t>Riserve diverse</t>
  </si>
  <si>
    <t>Contributi per copertura debiti al 31/12/2005</t>
  </si>
  <si>
    <t>Altro</t>
  </si>
  <si>
    <t>UTILI (PERDITE) PORTATI A NUOVO</t>
  </si>
  <si>
    <t>UTILE (PERDITA) D'ESERCIZIO</t>
  </si>
  <si>
    <t>FONDI PER IMPOSTE, ANCHE DIFFERITE</t>
  </si>
  <si>
    <t>Fondo rischi per cause civili ed oneri processuali</t>
  </si>
  <si>
    <t>Fondo rischi per contenzioso personale dipendente</t>
  </si>
  <si>
    <t>Fondo rischi connessi all'acquisto di prestazioni sanitarie da privato</t>
  </si>
  <si>
    <t>Fondo rischi per copertura diretta dei rischi (autoassicurazione)</t>
  </si>
  <si>
    <t>Fondo rischi per franchigia assicurativa</t>
  </si>
  <si>
    <t>Fondo rischi per interessi di mora</t>
  </si>
  <si>
    <t>Fondo equo indennizzo</t>
  </si>
  <si>
    <t>Fondo accordi bonari</t>
  </si>
  <si>
    <t>Altri fondi rischi</t>
  </si>
  <si>
    <t>FSR indistinto da distribuire</t>
  </si>
  <si>
    <t>FSR vincolato da distribuire</t>
  </si>
  <si>
    <t>Fondo per ripiano disavanzi pregressi</t>
  </si>
  <si>
    <t>Fondo finanziamento sanitario aggiuntivo corrente LEA</t>
  </si>
  <si>
    <t>Fondo finanziamento sanitario aggiuntivo corrente extra LEA</t>
  </si>
  <si>
    <t>Fondo finanziamento per ricerca</t>
  </si>
  <si>
    <t>Fondo finanziamento per investimenti</t>
  </si>
  <si>
    <t>Fondo finanziamento sanitario aggiuntivo corrente (extra fondo) - Risorse aggiuntive da bilancio regionale a titolo di copertura extra LEA</t>
  </si>
  <si>
    <t>Quote inutilizzate contributi da Regione o Prov. Aut. per quota F.S. vincolato</t>
  </si>
  <si>
    <t>Quote inutilizzate contributi vincolati da soggetti pubblici (extra fondo)</t>
  </si>
  <si>
    <t>Quote inutilizzate contributi per ricerca</t>
  </si>
  <si>
    <t>Quote inutilizzate contributi vincolati da privati - sperimentazioni</t>
  </si>
  <si>
    <t>Quote inutilizzate contributi vincolati da privati - altro</t>
  </si>
  <si>
    <t>Fondi integrativi pensione</t>
  </si>
  <si>
    <t>Fondo rinnovi convenzioni MMG/PLS/MCA</t>
  </si>
  <si>
    <t>Fondo rinnovi convenzioni medici Sumai</t>
  </si>
  <si>
    <t>Fondo oneri personale in quiescienza</t>
  </si>
  <si>
    <t>Altri fondi per oneri e spese</t>
  </si>
  <si>
    <t>Altri Fondi incentivi funzioni tecniche Art. 113 D.Lgs 50/2016</t>
  </si>
  <si>
    <t>FONDO PER PREMI OPEROSITA' MEDICI SUMAI</t>
  </si>
  <si>
    <t>FONDO PER TRATTAMENTO DI FINE RAPPORTO DIPENDENTI</t>
  </si>
  <si>
    <t>FONDO PER TRATTAMENTI DI QUIESCENZA E SIMILI</t>
  </si>
  <si>
    <t>DEBITI PER MUTUI PASSIVI</t>
  </si>
  <si>
    <t>Debiti v/Stato per mobilità passiva extraregionale</t>
  </si>
  <si>
    <t>Debiti v/Stato per mobilità passiva internazionale</t>
  </si>
  <si>
    <t>Acconto quota FSR v/Stato</t>
  </si>
  <si>
    <t>Debiti v/Stato per restituzione finanziamenti - per ricerca</t>
  </si>
  <si>
    <t>Altri debiti v/Stato</t>
  </si>
  <si>
    <t>Debiti v/Regione o Provincia Autonoma per finanziamenti - GSA</t>
  </si>
  <si>
    <t>Debiti v/Regione o Provincia Autonoma per finanziamenti</t>
  </si>
  <si>
    <t>Debiti v/Regione o Provincia Autonoma per mobilità passiva intraregionale</t>
  </si>
  <si>
    <t>Debiti v/Regione o Provincia Autonoma per mobilità passiva extraregionale</t>
  </si>
  <si>
    <t>Debiti v/Regione o Provincia Autonoma per mobilità passiva internazionale</t>
  </si>
  <si>
    <t>Acconto quota FSR da Regione o Provincia Autonoma</t>
  </si>
  <si>
    <t>Acconto da Regione o Provincia Autonoma per anticipazione ripiano disavanzo programmato dai Piani aziendali di cui all'art. 1, comma 528, L. 208/2015</t>
  </si>
  <si>
    <t>Altri debiti v/Regione o Provincia Autonoma - GSA</t>
  </si>
  <si>
    <t>Altri debiti v/Regione o Provincia Autonoma - vincolati a progetti europei</t>
  </si>
  <si>
    <t>Altri debiti v/Regione o Provincia Autonoma - vincolati a progetti ministeriali</t>
  </si>
  <si>
    <t>Altri debiti v/Regione o Provincia Autonoma</t>
  </si>
  <si>
    <t>Debiti verso comuni</t>
  </si>
  <si>
    <t>Debiti v/Aziende sanitarie pubbliche della Regione - per quota FSR</t>
  </si>
  <si>
    <t>Debiti v/Aziende sanitarie pubbliche della Regione - per finanziamento sanitario aggiuntivo corrente LEA</t>
  </si>
  <si>
    <t>Debiti v/Aziende sanitarie pubbliche della Regione - per finanziamento sanitario aggiuntivo corrente extra LEA</t>
  </si>
  <si>
    <t>Debiti v/Aziende sanitarie pubbliche della Regione - per mobilità in compensazione</t>
  </si>
  <si>
    <t>Debiti v/Aziende sanitarie pubbliche della Regione - per mobilità non in compensazione</t>
  </si>
  <si>
    <t>Debiti verso aziende sanitarie della Regione - per altre prestazioni</t>
  </si>
  <si>
    <t>Debiti v/Aziende sanitarie pubbliche della Regione - altre prestazioni per STP</t>
  </si>
  <si>
    <t>Debiti verso aziende sanitarie extra regionali</t>
  </si>
  <si>
    <t>Debiti v/Aziende sanitarie pubbliche della Regione per versamenti c/patrimonio netto - finanziamenti per investimenti</t>
  </si>
  <si>
    <t>Debiti v/Aziende sanitarie pubbliche della Regione per versamenti c/patrimonio netto - ripiano perdite</t>
  </si>
  <si>
    <t>Debiti v/Aziende sanitarie pubbliche della Regione per anticipazione ripiano disavanzo programmato dai Piani aziendali di cui all'art. 1, comma 528, L. 208/2015</t>
  </si>
  <si>
    <t>Debiti v/Aziende sanitarie pubbliche della Regione per versamenti c/patrimonio netto - altro</t>
  </si>
  <si>
    <t>Debiti v/enti regionali</t>
  </si>
  <si>
    <t>Debiti v/sperimentazioni gestionali</t>
  </si>
  <si>
    <t>Debiti v/altre partecipate</t>
  </si>
  <si>
    <t>Note di credito da ricevere (privati accreditati e convenzionati)</t>
  </si>
  <si>
    <t>Fornitori nazionali</t>
  </si>
  <si>
    <t>Fornitori esteri</t>
  </si>
  <si>
    <t>Assicurazioni</t>
  </si>
  <si>
    <t>Debiti vs farmacie</t>
  </si>
  <si>
    <t>Per trattenute a farmacie</t>
  </si>
  <si>
    <t>Note di credito da ricevere (altri fornitori)</t>
  </si>
  <si>
    <t>Anticipazioni</t>
  </si>
  <si>
    <t>Interessi passivi da liquidare</t>
  </si>
  <si>
    <t>Ritenute fiscali</t>
  </si>
  <si>
    <t>Erario c/IVA</t>
  </si>
  <si>
    <t>Iva a debito</t>
  </si>
  <si>
    <t>Iva a debito x acquisti infra CEE</t>
  </si>
  <si>
    <t>Iva a debito per autofatture</t>
  </si>
  <si>
    <t>Iva a debito per split payment</t>
  </si>
  <si>
    <t>Altri debiti tributari</t>
  </si>
  <si>
    <t>INPS (ex gestione INPDAP)</t>
  </si>
  <si>
    <t>INPS</t>
  </si>
  <si>
    <t>INAIL</t>
  </si>
  <si>
    <t>ENPAM</t>
  </si>
  <si>
    <t>ENPAF</t>
  </si>
  <si>
    <t>ONAOSI</t>
  </si>
  <si>
    <t>ENPAP</t>
  </si>
  <si>
    <t>ENPAV</t>
  </si>
  <si>
    <t>Debiti v/altri finanziatori</t>
  </si>
  <si>
    <t>Debiti CCNL da liquidare</t>
  </si>
  <si>
    <t>Debiti vs gestione stralcio 1</t>
  </si>
  <si>
    <t>Debiti vs gestione stralcio 2</t>
  </si>
  <si>
    <t>Debiti verso associazioni di volontariato</t>
  </si>
  <si>
    <t>Debiti verso privati paganti c/cauzioni</t>
  </si>
  <si>
    <t>Debiti verso assistiti</t>
  </si>
  <si>
    <t>Debiti per trattenute al personale</t>
  </si>
  <si>
    <t>Debiti verso personale convenzionato</t>
  </si>
  <si>
    <t>Debiti per ACN da liquidare</t>
  </si>
  <si>
    <t>Debiti verso personale non convenzionato</t>
  </si>
  <si>
    <t>Debiti verso personale tirocinante e borsisti</t>
  </si>
  <si>
    <t>Debiti per autofatture da emettere</t>
  </si>
  <si>
    <t>Debiti verso organi direttivi e istituzionali</t>
  </si>
  <si>
    <t>Debiti per quota integrativa organi direttivi e istituzionali da liquidare</t>
  </si>
  <si>
    <t>Debiti vs altri enti pubblici</t>
  </si>
  <si>
    <t>Altri debiti</t>
  </si>
  <si>
    <t>Debiti per fatture ricevute e da ricevere</t>
  </si>
  <si>
    <t>Note di credito da ricevere</t>
  </si>
  <si>
    <t>Ratei passivi v/Aziende sanitarie pubbliche della Regione</t>
  </si>
  <si>
    <t>Risconti passivi v/Aziende sanitarie pubbliche della Regione</t>
  </si>
  <si>
    <t>SCHEMA DI RENDICONTO FINANZIARIO</t>
  </si>
  <si>
    <t>ANNO 2023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</si>
  <si>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</si>
  <si>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</si>
  <si>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</si>
  <si>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</si>
  <si>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</si>
  <si>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</si>
  <si>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</si>
  <si>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</si>
  <si>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</si>
  <si>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</si>
  <si>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</si>
  <si>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</si>
  <si>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</si>
  <si>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</si>
  <si>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</si>
  <si>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</si>
  <si>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</si>
  <si>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</si>
  <si>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</si>
  <si>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</si>
  <si>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</si>
  <si>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</si>
  <si>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</si>
  <si>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</si>
  <si>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</si>
  <si>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</si>
  <si>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</si>
  <si>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</si>
  <si>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</si>
  <si>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</si>
  <si>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</si>
  <si>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</si>
  <si>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</si>
  <si>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</si>
  <si>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</si>
  <si>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</si>
  <si>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</si>
  <si>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</si>
  <si>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SOLO PER GSA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</si>
  <si>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</si>
  <si>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</si>
  <si>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</si>
  <si>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</si>
  <si>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</si>
  <si>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</si>
  <si>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</si>
  <si>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</si>
  <si>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</si>
  <si>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</si>
  <si>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</si>
  <si>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</si>
  <si>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</si>
  <si>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'posta a pareggio svalutazioni e fondi svalutazione = '- svalutazioni crediti + utilizzi fondi svalutazioni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</si>
  <si>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</si>
  <si>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</si>
  <si>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</si>
  <si>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</si>
  <si>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</si>
  <si>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</si>
  <si>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COMPILARE MANUALMENTE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</si>
  <si>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</si>
  <si>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</si>
  <si>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</si>
  <si>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</si>
  <si>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</si>
  <si>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</si>
  <si>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</si>
  <si>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</si>
  <si>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</si>
  <si>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</si>
  <si>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</si>
  <si>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</si>
  <si>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</si>
  <si>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</si>
  <si>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</si>
  <si>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</si>
  <si>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</si>
  <si>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</si>
  <si>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</si>
  <si>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</si>
  <si>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</si>
  <si>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</si>
  <si>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</si>
  <si>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</si>
  <si>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</si>
  <si>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</si>
  <si>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</si>
  <si>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</si>
  <si>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</si>
  <si>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</si>
  <si>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</si>
  <si>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</si>
  <si>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</si>
  <si>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</si>
  <si>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</si>
  <si>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</si>
  <si>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Totale = - SP A) Immobilizzazioni - Ammortamenti - svalutazioni + Utilizzi fondo svalutazioni + Fornitori x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</si>
  <si>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</si>
  <si>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</si>
  <si>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</si>
  <si>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</si>
  <si>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</si>
  <si>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</si>
  <si>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</si>
  <si>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</si>
  <si>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</si>
  <si>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</si>
  <si>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</si>
  <si>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</si>
  <si>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</si>
  <si>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</si>
  <si>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</si>
  <si>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</si>
  <si>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</si>
  <si>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</si>
  <si>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Anno 2024</t>
  </si>
  <si>
    <t>VARIAZIONE 2024/2023</t>
  </si>
  <si>
    <t>IMPORTO
2024</t>
  </si>
  <si>
    <t>Importo
2024</t>
  </si>
  <si>
    <t>ANNO 2024</t>
  </si>
  <si>
    <t>VARIAZIONE 2023/2022</t>
  </si>
  <si>
    <t>SEGNO</t>
  </si>
  <si>
    <t>A</t>
  </si>
  <si>
    <t>ATTIVO</t>
  </si>
  <si>
    <t>010100000000000</t>
  </si>
  <si>
    <t>210100100000000</t>
  </si>
  <si>
    <t>SEGNO NEGATIVO</t>
  </si>
  <si>
    <t>010200000000000</t>
  </si>
  <si>
    <t>210100200000000</t>
  </si>
  <si>
    <t>A.I.3.a) Diritti di brevetto e diritti di utilizzazione delle opere d'ingegno - derivanti dall'attività di  ricerca</t>
  </si>
  <si>
    <t>010300100000000</t>
  </si>
  <si>
    <t>210100300000000</t>
  </si>
  <si>
    <t>010300200000000</t>
  </si>
  <si>
    <t>210100400000000</t>
  </si>
  <si>
    <t>010400000000000</t>
  </si>
  <si>
    <t>010500100000000</t>
  </si>
  <si>
    <t>210100500000000</t>
  </si>
  <si>
    <t>010500200000000</t>
  </si>
  <si>
    <t>210100600000000</t>
  </si>
  <si>
    <t>010500300000000</t>
  </si>
  <si>
    <t>210100700000000</t>
  </si>
  <si>
    <t>010500400000000</t>
  </si>
  <si>
    <t>210100800000000</t>
  </si>
  <si>
    <t>210300100000000</t>
  </si>
  <si>
    <t>210300200000000</t>
  </si>
  <si>
    <t>210300300000000</t>
  </si>
  <si>
    <t>210300400000000</t>
  </si>
  <si>
    <t>A.II) IMMOBILIZZAZIONI MATERIALI</t>
  </si>
  <si>
    <t>020100100000000</t>
  </si>
  <si>
    <t>020100200000000</t>
  </si>
  <si>
    <t>020200100000000</t>
  </si>
  <si>
    <t>210200100000000</t>
  </si>
  <si>
    <t>020200200000000</t>
  </si>
  <si>
    <t>210200200000000</t>
  </si>
  <si>
    <t>020300000000000</t>
  </si>
  <si>
    <t>210200300000000</t>
  </si>
  <si>
    <t>020400000000000</t>
  </si>
  <si>
    <t>210200400000000</t>
  </si>
  <si>
    <t>020500000000000</t>
  </si>
  <si>
    <t>210200500000000</t>
  </si>
  <si>
    <t>020600000000000</t>
  </si>
  <si>
    <t>210200600000000</t>
  </si>
  <si>
    <t>020700000000000</t>
  </si>
  <si>
    <t>020800000000000</t>
  </si>
  <si>
    <t>210200700000000</t>
  </si>
  <si>
    <t>020900000000000</t>
  </si>
  <si>
    <t>210400050000000</t>
  </si>
  <si>
    <t>210400100000000</t>
  </si>
  <si>
    <t>210400150000000</t>
  </si>
  <si>
    <t>210400200000000</t>
  </si>
  <si>
    <t>210400300000000</t>
  </si>
  <si>
    <t>210400400000000</t>
  </si>
  <si>
    <t>210400500000000</t>
  </si>
  <si>
    <t>210400600000000</t>
  </si>
  <si>
    <t>210400700000000</t>
  </si>
  <si>
    <t>210400800000000</t>
  </si>
  <si>
    <t>A.III) IMMOBILIZZAZIONI FINANZIARIE</t>
  </si>
  <si>
    <t>030100100000000</t>
  </si>
  <si>
    <t>210500100000000</t>
  </si>
  <si>
    <t>030100200000000</t>
  </si>
  <si>
    <t>210500101000000</t>
  </si>
  <si>
    <t>030100300000000</t>
  </si>
  <si>
    <t>210500102000000</t>
  </si>
  <si>
    <t>030100400100000</t>
  </si>
  <si>
    <t>030100400200000</t>
  </si>
  <si>
    <t>030100400300000</t>
  </si>
  <si>
    <t>210500103000000</t>
  </si>
  <si>
    <t>030200100000000</t>
  </si>
  <si>
    <t>030200200100000</t>
  </si>
  <si>
    <t>030200200200000</t>
  </si>
  <si>
    <t>030200200300000</t>
  </si>
  <si>
    <t>030200200400000</t>
  </si>
  <si>
    <t>100100100100000</t>
  </si>
  <si>
    <t>Rim. medicinali con AIC, ad eccezione di vaccini ed emoderivati di produzione regionale</t>
  </si>
  <si>
    <t>100100100200000</t>
  </si>
  <si>
    <t>Rim. medicinali senza AIC</t>
  </si>
  <si>
    <t>100100100300000</t>
  </si>
  <si>
    <t>Rim. emoderivati di produzione regionale</t>
  </si>
  <si>
    <t>100100200000000</t>
  </si>
  <si>
    <t>Rim. sangue ed emocomponenti</t>
  </si>
  <si>
    <t>100100300100000</t>
  </si>
  <si>
    <t>Rim. dispositivi medici</t>
  </si>
  <si>
    <t>100100300200000</t>
  </si>
  <si>
    <t>Rim. dispositivi medici impiantabili attivi</t>
  </si>
  <si>
    <t>100100300300000</t>
  </si>
  <si>
    <t>Rim. dispositivi medico diagnostici in vitro (IVD)</t>
  </si>
  <si>
    <t>100100400000000</t>
  </si>
  <si>
    <t>Rim. prodotti dietetici</t>
  </si>
  <si>
    <t>100100500000000</t>
  </si>
  <si>
    <t>Rim. materiali per la profilassi (vaccini)</t>
  </si>
  <si>
    <t>100100600000000</t>
  </si>
  <si>
    <t>Rim. prodotti chimici</t>
  </si>
  <si>
    <t>100100700000000</t>
  </si>
  <si>
    <t>Rim. materiali e prodotti per uso veterinario</t>
  </si>
  <si>
    <t>100100800000000</t>
  </si>
  <si>
    <t>Rim. altri beni e prodotti sanitari</t>
  </si>
  <si>
    <t>100100900000000</t>
  </si>
  <si>
    <t>100200100000000</t>
  </si>
  <si>
    <t>Rim. prodotti alimentari</t>
  </si>
  <si>
    <t>100200200000000</t>
  </si>
  <si>
    <t>Rim. materiali di guardaroba, di pulizia, e di convivenza in genere</t>
  </si>
  <si>
    <t>100200300000000</t>
  </si>
  <si>
    <t>Rim. combustibili, carburanti e lubrificanti</t>
  </si>
  <si>
    <t>100200400000000</t>
  </si>
  <si>
    <t>Rim. supporti informatici e cancelleria</t>
  </si>
  <si>
    <t>100200500000000</t>
  </si>
  <si>
    <t>Rim. materiale per la manutenzione</t>
  </si>
  <si>
    <t>100200600000000</t>
  </si>
  <si>
    <t>Rim. altri beni e prodotti non sanitari</t>
  </si>
  <si>
    <t>100200700000000</t>
  </si>
  <si>
    <t>B.II) CREDITI</t>
  </si>
  <si>
    <t>110100050000000</t>
  </si>
  <si>
    <t>210500200000000</t>
  </si>
  <si>
    <t>110100100000000</t>
  </si>
  <si>
    <t>210500201000000</t>
  </si>
  <si>
    <t>110100200000000</t>
  </si>
  <si>
    <t>210500202000000</t>
  </si>
  <si>
    <t>110100300000000</t>
  </si>
  <si>
    <t>210500203000000</t>
  </si>
  <si>
    <t>110100400000000</t>
  </si>
  <si>
    <t>210500204000000</t>
  </si>
  <si>
    <t>110100500000000</t>
  </si>
  <si>
    <t>210500205000000</t>
  </si>
  <si>
    <t>110100600100000</t>
  </si>
  <si>
    <t>110100600800000</t>
  </si>
  <si>
    <t>Crediti per fatture e ricevute da emettere v/Stato per spesa corrente</t>
  </si>
  <si>
    <t>110100600900000</t>
  </si>
  <si>
    <t>Note di credito da emettere v/Stato per spesa corrente</t>
  </si>
  <si>
    <t>210500206000000</t>
  </si>
  <si>
    <t>B.II.1.h) Crediti v/Stato per spesa corrente  per STP (ex D.Lgs. 286/98)</t>
  </si>
  <si>
    <t>110100650000000</t>
  </si>
  <si>
    <t>210500212000000</t>
  </si>
  <si>
    <t>110100700000000</t>
  </si>
  <si>
    <t>210500207000000</t>
  </si>
  <si>
    <t>110100800100000</t>
  </si>
  <si>
    <t>210500208000000</t>
  </si>
  <si>
    <t>110100800200000</t>
  </si>
  <si>
    <t>210500209000000</t>
  </si>
  <si>
    <t>B.II.1.j.3) Crediti v/Stato per ricerca - altre Amministrazioni centrali</t>
  </si>
  <si>
    <t>110100800301000</t>
  </si>
  <si>
    <t>110100800302000</t>
  </si>
  <si>
    <t>110100800309000</t>
  </si>
  <si>
    <t>Crediti verso altre Amministrazioni centrali</t>
  </si>
  <si>
    <t>210500210000000</t>
  </si>
  <si>
    <t>Fondo Svalutazione Crediti v/Stato per ricerca - altre Amministrazioni centrali</t>
  </si>
  <si>
    <t>110100800400000</t>
  </si>
  <si>
    <t>210500211000000</t>
  </si>
  <si>
    <t>110100900100000</t>
  </si>
  <si>
    <t>110100900800000</t>
  </si>
  <si>
    <t>Crediti per fatture e ricevute da emettere v/prefetture</t>
  </si>
  <si>
    <t>110100900900000</t>
  </si>
  <si>
    <t>Note di credito da emettere v/prefetture</t>
  </si>
  <si>
    <t>210500300000000</t>
  </si>
  <si>
    <t>110200100200000</t>
  </si>
  <si>
    <t>210500402000000</t>
  </si>
  <si>
    <t>110200100300000</t>
  </si>
  <si>
    <t>210500403000000</t>
  </si>
  <si>
    <t>110200100400000</t>
  </si>
  <si>
    <t>210500404000000</t>
  </si>
  <si>
    <t>110200100500000</t>
  </si>
  <si>
    <t>210500405000000</t>
  </si>
  <si>
    <t>B.II.2.a.5) Crediti v/Regione o Provincia Autonoma per finanziamento sanitario aggiuntivo  corrente LEA</t>
  </si>
  <si>
    <t>110200100600000</t>
  </si>
  <si>
    <t>210500406000000</t>
  </si>
  <si>
    <t>B.II.2.a.6) Crediti v/Regione o Provincia Autonoma per finanziamento sanitario aggiuntivo  corrente extra LEA</t>
  </si>
  <si>
    <t>110200100700000</t>
  </si>
  <si>
    <t>210500407000000</t>
  </si>
  <si>
    <t>110200100801000</t>
  </si>
  <si>
    <t>110200100808000</t>
  </si>
  <si>
    <t>Crediti per fatture e ricevute da emettere v/Regione o Provincia Autonoma per spesa corrente</t>
  </si>
  <si>
    <t>110200100809000</t>
  </si>
  <si>
    <t>Note di credito da emettere v/Regione o Provincia Autonoma per spesa corrente</t>
  </si>
  <si>
    <t>210500408000000</t>
  </si>
  <si>
    <t>B.II.2.a.8) Crediti v/Regione o Provincia Autonoma per spesa corrente - STP (ex D.Lgs. 286/98)</t>
  </si>
  <si>
    <t>110200100850000</t>
  </si>
  <si>
    <t>210500415000000</t>
  </si>
  <si>
    <t>110200100901000</t>
  </si>
  <si>
    <t>110200100902000</t>
  </si>
  <si>
    <t>110200100903000</t>
  </si>
  <si>
    <t>110200100909000</t>
  </si>
  <si>
    <t>210500409000000</t>
  </si>
  <si>
    <t>110200100950000</t>
  </si>
  <si>
    <t>210500416000000</t>
  </si>
  <si>
    <t>110200200100000</t>
  </si>
  <si>
    <t>210500410000000</t>
  </si>
  <si>
    <t>110200200200000</t>
  </si>
  <si>
    <t>210500411000000</t>
  </si>
  <si>
    <t>110200200300000</t>
  </si>
  <si>
    <t>210500412000000</t>
  </si>
  <si>
    <t>B.II.2.b.4) Crediti v/Regione o Provincia Autonoma per anticipazione ripiano disavanzo programmato dai Piani aziendali di cui all'art.1, comma 528, L. 208/2015</t>
  </si>
  <si>
    <t>110200200350000</t>
  </si>
  <si>
    <t>110200200400000</t>
  </si>
  <si>
    <t>210500413000000</t>
  </si>
  <si>
    <t>B.II.2.b.6) Crediti v/Regione o Provincia Autonoma per ricostituzione risorse da investimenti  esercizi precedenti</t>
  </si>
  <si>
    <t>110200200500000</t>
  </si>
  <si>
    <t>210500414000000</t>
  </si>
  <si>
    <t>B.II.2.c) Crediti v/Regione o Provincia Autonoma per contributi L. 210/92</t>
  </si>
  <si>
    <t>110200300000000</t>
  </si>
  <si>
    <t>Crediti v/Regione o Provincia Autonoma per contributi L. 210/92</t>
  </si>
  <si>
    <t>B.II.2.d) Crediti v/Regione o Provincia Autonoma per contributi L. 210/92 - aziende sanitarie</t>
  </si>
  <si>
    <t>110200400000000</t>
  </si>
  <si>
    <t>110300100000000</t>
  </si>
  <si>
    <t>110300800000000</t>
  </si>
  <si>
    <t>Crediti per fatture e ricevute da emettere v/Comuni</t>
  </si>
  <si>
    <t>110300900000000</t>
  </si>
  <si>
    <t>Note di credito da emettere v/Comuni</t>
  </si>
  <si>
    <t>210500500000000</t>
  </si>
  <si>
    <t>110400100100000</t>
  </si>
  <si>
    <t>110400100201000</t>
  </si>
  <si>
    <t>110400100208000</t>
  </si>
  <si>
    <t>Crediti per fatture e ricevute da emettere v/Aziende sanitarie pubbliche della Regione - per mobilità non in compensazione</t>
  </si>
  <si>
    <t>110400100209000</t>
  </si>
  <si>
    <t>Note di credito da emettere v/Aziende sanitarie pubbliche della Regione - per mobilità non in compensazione</t>
  </si>
  <si>
    <t>110400100301000</t>
  </si>
  <si>
    <t>110400100308000</t>
  </si>
  <si>
    <t>Crediti per fatture e ricevute da emettere v/Aziende sanitarie pubbliche della Regione - per altre prestazioni</t>
  </si>
  <si>
    <t>110400100309000</t>
  </si>
  <si>
    <t>Note di credito da emettere v/Aziende sanitarie pubbliche della Regione - per altre prestazioni</t>
  </si>
  <si>
    <t>110400200000000</t>
  </si>
  <si>
    <t>B.II.4.c) Crediti v/Aziende sanitarie pubbliche della Regione  per anticipazione ripiano disavanzo programmato dai Piani aziendali di cui all'art.1, comma 528, L. 208/2015</t>
  </si>
  <si>
    <t>110400250000000</t>
  </si>
  <si>
    <t>Crediti v/Aziende sanitarie pubbliche della Regione per anticipazione ripiano disavanzo programmato dai Piani aziendali di cui all'art. 1, comma 528, L. 208/2015</t>
  </si>
  <si>
    <t>USO GSA</t>
  </si>
  <si>
    <t>110400300100000</t>
  </si>
  <si>
    <t>110400300800000</t>
  </si>
  <si>
    <t>Crediti per fatture e ricevute da emettere v/Aziende sanitarie pubbliche Extraregione</t>
  </si>
  <si>
    <t>110400300900000</t>
  </si>
  <si>
    <t>Note di credito da emettere v/Aziende sanitarie pubbliche Extraregione</t>
  </si>
  <si>
    <t>210500604000000</t>
  </si>
  <si>
    <t>B.II.4.e) Crediti v/Aziende sanitarie pubbliche della Regione  - per Contributi da Aziende sanitarie pubbliche della regione o Prov. Aut. (extra fondo)</t>
  </si>
  <si>
    <t>110400350000000</t>
  </si>
  <si>
    <t>Crediti v/Aziende sanitarie pubbliche della Regione - per Contributi da Aziende sanitarie pubbliche della Regione o Prov. Aut. (extra fondo)</t>
  </si>
  <si>
    <t>110500100000000</t>
  </si>
  <si>
    <t>210500700000000</t>
  </si>
  <si>
    <t>110500200000000</t>
  </si>
  <si>
    <t>210500701000000</t>
  </si>
  <si>
    <t>110500300100000</t>
  </si>
  <si>
    <t>110500300800000</t>
  </si>
  <si>
    <t>Crediti per fatture e ricevute da emettere v/altre partecipate</t>
  </si>
  <si>
    <t>110500300900000</t>
  </si>
  <si>
    <t>Note di credito da emettere v/altre partecipate</t>
  </si>
  <si>
    <t>210500702000000</t>
  </si>
  <si>
    <t>110600100000000</t>
  </si>
  <si>
    <t>Crediti v/Erario IRES</t>
  </si>
  <si>
    <t>110600200000000</t>
  </si>
  <si>
    <t>Crediti v/Erario IRAP</t>
  </si>
  <si>
    <t>110600300000000</t>
  </si>
  <si>
    <t>110600300000010</t>
  </si>
  <si>
    <t>IVA c/acquisti - SPLIT PAYMENT ACQUISTI COMMERCIALI</t>
  </si>
  <si>
    <t>110600400000000</t>
  </si>
  <si>
    <t>110600500000000</t>
  </si>
  <si>
    <t>110600600000000</t>
  </si>
  <si>
    <t>210500703000000</t>
  </si>
  <si>
    <t>110700100100000</t>
  </si>
  <si>
    <t>110700100200000</t>
  </si>
  <si>
    <t>110700100300000</t>
  </si>
  <si>
    <t>110700100800000</t>
  </si>
  <si>
    <t>Crediti per fatture e ricevute da emettere v/clienti privati</t>
  </si>
  <si>
    <t>110700100900000</t>
  </si>
  <si>
    <t>Note di credito da emettere v/clienti privati</t>
  </si>
  <si>
    <t>210500900000000</t>
  </si>
  <si>
    <t>110700200000000</t>
  </si>
  <si>
    <t>210500901000000</t>
  </si>
  <si>
    <t>110700300100000</t>
  </si>
  <si>
    <t>110700300200000</t>
  </si>
  <si>
    <t>110700300800000</t>
  </si>
  <si>
    <t>Crediti per fatture e ricevute da emettere v/altri soggetti pubblici</t>
  </si>
  <si>
    <t>110700300900000</t>
  </si>
  <si>
    <t>Note di credito da emettere v/altri soggetti pubblici</t>
  </si>
  <si>
    <t>210500902000000</t>
  </si>
  <si>
    <t>110700400000000</t>
  </si>
  <si>
    <t>210500903000000</t>
  </si>
  <si>
    <t>B.II.7.e.1) Altri crediti diversi</t>
  </si>
  <si>
    <t>110700500100000</t>
  </si>
  <si>
    <t>110700500150000</t>
  </si>
  <si>
    <t>110700500200000</t>
  </si>
  <si>
    <t>110700500300000</t>
  </si>
  <si>
    <t>110700500400000</t>
  </si>
  <si>
    <t>Crediti per depositi cauzionali</t>
  </si>
  <si>
    <t>110700500900000</t>
  </si>
  <si>
    <t>210500990000000</t>
  </si>
  <si>
    <t>210500991000000</t>
  </si>
  <si>
    <t>110700500910000</t>
  </si>
  <si>
    <t>110700600100000</t>
  </si>
  <si>
    <t>B.II.7.f.2) Note di credito da emettere (privati accreditati e convenzionati)</t>
  </si>
  <si>
    <t>110700600200000</t>
  </si>
  <si>
    <t>120100100000000</t>
  </si>
  <si>
    <t>120100200000000</t>
  </si>
  <si>
    <t>120100300000000</t>
  </si>
  <si>
    <t>120200000000000</t>
  </si>
  <si>
    <t>1301001000000</t>
  </si>
  <si>
    <t>130100100100000</t>
  </si>
  <si>
    <t>Cassa economale gestione sanita</t>
  </si>
  <si>
    <t>130100100200000</t>
  </si>
  <si>
    <t>Cassa economale gestione delega</t>
  </si>
  <si>
    <t>1301002000000</t>
  </si>
  <si>
    <t>130100200100000</t>
  </si>
  <si>
    <t>Cassa prestazioni CUP</t>
  </si>
  <si>
    <t>130100200200000</t>
  </si>
  <si>
    <t>Cassa prestazioni CUP - CASSE AUTOMATICHE</t>
  </si>
  <si>
    <t>130200100000000</t>
  </si>
  <si>
    <t>130200100000040</t>
  </si>
  <si>
    <t>Banca C/Carta Contabile Entrata</t>
  </si>
  <si>
    <t>130200100000050</t>
  </si>
  <si>
    <t>Banca C/Carta Contabile Uscita</t>
  </si>
  <si>
    <t>130200110000000</t>
  </si>
  <si>
    <t>130200200000000</t>
  </si>
  <si>
    <t>130300000000000</t>
  </si>
  <si>
    <t>130400100000000</t>
  </si>
  <si>
    <t>Conto corrente postale generale</t>
  </si>
  <si>
    <t>130400110000000</t>
  </si>
  <si>
    <t>Conto corrente postale veterinaria</t>
  </si>
  <si>
    <t>130400120000000</t>
  </si>
  <si>
    <t>Conto corrente postale prestazioni CUP</t>
  </si>
  <si>
    <t>130400130000000</t>
  </si>
  <si>
    <t>Conto corrente postale delega</t>
  </si>
  <si>
    <t>130400200000000</t>
  </si>
  <si>
    <t>Deposito affrancatrice</t>
  </si>
  <si>
    <t>1309000000000</t>
  </si>
  <si>
    <t>130900100000000</t>
  </si>
  <si>
    <t>130900200000000</t>
  </si>
  <si>
    <t>130900300000000</t>
  </si>
  <si>
    <t>130900301000000</t>
  </si>
  <si>
    <t>130900302000000</t>
  </si>
  <si>
    <t>130900303000000</t>
  </si>
  <si>
    <t>130900304000000</t>
  </si>
  <si>
    <t>130900305000000</t>
  </si>
  <si>
    <t>130900306000000</t>
  </si>
  <si>
    <t>130900307000000</t>
  </si>
  <si>
    <t>130900308000000</t>
  </si>
  <si>
    <t>130900309000000</t>
  </si>
  <si>
    <t>140100100000000</t>
  </si>
  <si>
    <t>140100200000000</t>
  </si>
  <si>
    <t>140200100000000</t>
  </si>
  <si>
    <t>140200200000000</t>
  </si>
  <si>
    <t>195100000000000</t>
  </si>
  <si>
    <t>C.O.A. CANONI DI LEASING ANCORA DA PAGARE</t>
  </si>
  <si>
    <t>195200000000000</t>
  </si>
  <si>
    <t>C.O.A. DEPOSITI CAUZIONALI</t>
  </si>
  <si>
    <t>195300000000000</t>
  </si>
  <si>
    <t>C.O.A. BENI IN COMODATO</t>
  </si>
  <si>
    <t>195350000000000</t>
  </si>
  <si>
    <t>C.O.A. CANONI DI PROJECT FINANCING ANCORA DA PAGARE</t>
  </si>
  <si>
    <t>195400100000000</t>
  </si>
  <si>
    <t>C.O.A. Beni di terzi presso l'Azienda</t>
  </si>
  <si>
    <t>195400200000000</t>
  </si>
  <si>
    <t>C.O.A. Garanzie prestate (fideiussioni, avalli, altre garanzie personali e reali)</t>
  </si>
  <si>
    <t>195400300000000</t>
  </si>
  <si>
    <t>C.O.A. Garanzie ricevute (fideiussioni, avalli, altre garanzie personali e reali)</t>
  </si>
  <si>
    <t>195400400000000</t>
  </si>
  <si>
    <t>C.O.A. Beni in contenzioso</t>
  </si>
  <si>
    <t>195400900000000</t>
  </si>
  <si>
    <t>C.O.A. Altri impegni assunti</t>
  </si>
  <si>
    <t>P</t>
  </si>
  <si>
    <t>Passivo</t>
  </si>
  <si>
    <t>200100000000000</t>
  </si>
  <si>
    <t>200200100000000</t>
  </si>
  <si>
    <t>200200200100000</t>
  </si>
  <si>
    <t>200200200200000</t>
  </si>
  <si>
    <t>200200200300000</t>
  </si>
  <si>
    <t>200200300100000</t>
  </si>
  <si>
    <t>200200300200000</t>
  </si>
  <si>
    <t>200200400100000</t>
  </si>
  <si>
    <t>200200400200000</t>
  </si>
  <si>
    <t>200200500000000</t>
  </si>
  <si>
    <t>200300000000000</t>
  </si>
  <si>
    <t>200400100000000</t>
  </si>
  <si>
    <t>200400200000000</t>
  </si>
  <si>
    <t>200400300000000</t>
  </si>
  <si>
    <t>200400400000000</t>
  </si>
  <si>
    <t>200400500000000</t>
  </si>
  <si>
    <t>200500100000000</t>
  </si>
  <si>
    <t>200500200000000</t>
  </si>
  <si>
    <t>Contributi per ricostituzione risorse da investimenti esercizi precedenti</t>
  </si>
  <si>
    <t>200500300000000</t>
  </si>
  <si>
    <t>200600000000000</t>
  </si>
  <si>
    <t>200700000000000</t>
  </si>
  <si>
    <t>220100000000000</t>
  </si>
  <si>
    <t>220200100000000</t>
  </si>
  <si>
    <t>220200200000000</t>
  </si>
  <si>
    <t>220200300000000</t>
  </si>
  <si>
    <t>220200400000000</t>
  </si>
  <si>
    <t>220200500000000</t>
  </si>
  <si>
    <t>220200600000000</t>
  </si>
  <si>
    <t>220200900100000</t>
  </si>
  <si>
    <t>220200900200000</t>
  </si>
  <si>
    <t>220200900900000</t>
  </si>
  <si>
    <t>220300100000000</t>
  </si>
  <si>
    <t>220300200000000</t>
  </si>
  <si>
    <t>220300300000000</t>
  </si>
  <si>
    <t>220300400000000</t>
  </si>
  <si>
    <t>220300500000000</t>
  </si>
  <si>
    <t>220300600000000</t>
  </si>
  <si>
    <t>220300700000000</t>
  </si>
  <si>
    <t>220300800000000</t>
  </si>
  <si>
    <t>B.IV.1) Quote inutilizzate contributi da Regione o Prov. Aut. Per quota F.S. indistinto finalizzato</t>
  </si>
  <si>
    <t>220400050000000</t>
  </si>
  <si>
    <t>Quote inutilizzate contributi da Regione o Prov. Aut. per quota F.S. indistinto finalizzato</t>
  </si>
  <si>
    <t>220400100000000</t>
  </si>
  <si>
    <t>220400200000000</t>
  </si>
  <si>
    <t>220400300000000</t>
  </si>
  <si>
    <t>220400400100000</t>
  </si>
  <si>
    <t>220400400900000</t>
  </si>
  <si>
    <t>220500100000000</t>
  </si>
  <si>
    <t>B.V.2.a) Fondo rinnovi contrattuali personale dipendente</t>
  </si>
  <si>
    <t>220500200100000</t>
  </si>
  <si>
    <t>Fondo rinnovi contrattuali personale dipendente</t>
  </si>
  <si>
    <t>220500200200000</t>
  </si>
  <si>
    <t>220500200300000</t>
  </si>
  <si>
    <t>220500900100000</t>
  </si>
  <si>
    <t>220500900900000</t>
  </si>
  <si>
    <t>B.V.4) Altri fondi per Incentivi per funzioni tecniche Art. 113 D.Lgs. 50/2016</t>
  </si>
  <si>
    <t>220500950000000</t>
  </si>
  <si>
    <t>230100000000000</t>
  </si>
  <si>
    <t>230200000000000</t>
  </si>
  <si>
    <t>C.III) FONDO PER TRATTAMENTO DI QUIESCENZA E SIMILI</t>
  </si>
  <si>
    <t>230300000000000</t>
  </si>
  <si>
    <t>240050000000000</t>
  </si>
  <si>
    <t>240100100000000</t>
  </si>
  <si>
    <t>240100200000000</t>
  </si>
  <si>
    <t>240100300000000</t>
  </si>
  <si>
    <t>240100400000000</t>
  </si>
  <si>
    <t>240100500100000</t>
  </si>
  <si>
    <t>Acconti su contributi v/Stato</t>
  </si>
  <si>
    <t>240100500200000</t>
  </si>
  <si>
    <t>240100500800000</t>
  </si>
  <si>
    <t>Debiti per fatture ricevute e da ricevere v/Stato</t>
  </si>
  <si>
    <t>240100500900000</t>
  </si>
  <si>
    <t>Note di credito da ricevere v/Stato</t>
  </si>
  <si>
    <t>240150100000000</t>
  </si>
  <si>
    <t>240150150000000</t>
  </si>
  <si>
    <t>240150200000000</t>
  </si>
  <si>
    <t>240150300000000</t>
  </si>
  <si>
    <t>240150350000000</t>
  </si>
  <si>
    <t>240150400000000</t>
  </si>
  <si>
    <t>240150410000000</t>
  </si>
  <si>
    <t>D.III.8) Debiti v/regione o Provincia Autonoma per contributi L. 210/92</t>
  </si>
  <si>
    <t>240150420000000</t>
  </si>
  <si>
    <t>Debiti v/Regione o Provincia Autonoma per contributi L. 210/92</t>
  </si>
  <si>
    <t>D.III.9) Altri debiti v/Regione o Provincia Autonoma - GSA</t>
  </si>
  <si>
    <t>240150430000000</t>
  </si>
  <si>
    <t>240150500100000</t>
  </si>
  <si>
    <t>240150500200000</t>
  </si>
  <si>
    <t>240150500300000</t>
  </si>
  <si>
    <t>240150500800000</t>
  </si>
  <si>
    <t xml:space="preserve">Debiti per fatture ricevute e da ricevere v/Regione o Provincia Autonoma </t>
  </si>
  <si>
    <t>240150500900000</t>
  </si>
  <si>
    <t xml:space="preserve">Note di credito da ricevere v/Regione o Provincia Autonoma </t>
  </si>
  <si>
    <t>240200100000000</t>
  </si>
  <si>
    <t>Acconti da comuni</t>
  </si>
  <si>
    <t>240200200000000</t>
  </si>
  <si>
    <t>240200800000000</t>
  </si>
  <si>
    <t>Debiti per fatture ricevute e da ricevere v/Comuni</t>
  </si>
  <si>
    <t>240200900000000</t>
  </si>
  <si>
    <t>Note di credito da ricevere v/Comuni</t>
  </si>
  <si>
    <t>240250100100000</t>
  </si>
  <si>
    <t>240250100200000</t>
  </si>
  <si>
    <t>240250100300000</t>
  </si>
  <si>
    <t>240250100400000</t>
  </si>
  <si>
    <t>240250100501000</t>
  </si>
  <si>
    <t>240250100508000</t>
  </si>
  <si>
    <t>Debiti per fatture ricevute e da ricevere v/Aziende sanitarie pubbliche della Regione - per mobilità non in compensazione</t>
  </si>
  <si>
    <t>240250100509000</t>
  </si>
  <si>
    <t>Note di credito da ricevere v/Aziende sanitarie pubbliche della Regione - per mobilità non in compensazione</t>
  </si>
  <si>
    <t>240250100601000</t>
  </si>
  <si>
    <t>240250100608000</t>
  </si>
  <si>
    <t>Debiti per fatture ricevute e da ricevere v/Aziende sanitarie pubbliche della Regione - per altre prestazioni</t>
  </si>
  <si>
    <t>240250100609000</t>
  </si>
  <si>
    <t>Note di credito da ricevere v/Aziende sanitarie pubbliche della Regione - per altre prestazioni</t>
  </si>
  <si>
    <t>D.V.1.g) Debiti v/Aziende sanitarie pubbliche della Regione - per altre prestazioni per STP</t>
  </si>
  <si>
    <t>240250100700000</t>
  </si>
  <si>
    <t>D.V.1.h) Debiti v/Aziende sanitarie pubbliche della Regione - per Contributi da Aziende sanitarie pubbliche della Regione o Prov. Aut. (extra fondo)</t>
  </si>
  <si>
    <t>240250100800000</t>
  </si>
  <si>
    <t>Debiti v/Aziende sanitarie pubbliche della Regione - per Contributi da Aziende sanitarie pubbliche della Regione o Prov. Aut. (extra fondo)</t>
  </si>
  <si>
    <t>D.V.1.i) Debiti v/Aziende sanitarie pubbliche della Regione - per contributi L. 210/92</t>
  </si>
  <si>
    <t>240250100900000</t>
  </si>
  <si>
    <t>Debiti v/Aziende sanitarie pubbliche della Regione - per contributi L. 210/92</t>
  </si>
  <si>
    <t>D.V.2) Debiti v/Aziende sanitarie pubbliche Extraregione</t>
  </si>
  <si>
    <t>240250200100000</t>
  </si>
  <si>
    <t>240250200800000</t>
  </si>
  <si>
    <t>Debiti per fatture ricevute e da ricevere v/Aziende sanitarie pubbliche Extraregione</t>
  </si>
  <si>
    <t>240250200900000</t>
  </si>
  <si>
    <t>Note di credito da ricevere v/Aziende sanitarie pubbliche Extraregione</t>
  </si>
  <si>
    <t>D.V.3.a) Debiti v/Aziende sanitarie pubbliche della Regione per versamenti c/patrimonio netto  - finanziamenti per investimenti</t>
  </si>
  <si>
    <t>240250300100000</t>
  </si>
  <si>
    <t>240250300200000</t>
  </si>
  <si>
    <t>Debiti v/Aziende sanitarie pubbliche della Regione per versamenti c/patrimonio netto - incremento fondo dotazione</t>
  </si>
  <si>
    <t>240250300300000</t>
  </si>
  <si>
    <t>240250300400000</t>
  </si>
  <si>
    <t>240250300500000</t>
  </si>
  <si>
    <t>240300100000000</t>
  </si>
  <si>
    <t>240300200000000</t>
  </si>
  <si>
    <t>240300300100000</t>
  </si>
  <si>
    <t>240300300800000</t>
  </si>
  <si>
    <t>Debiti per fatture ricevute e da ricevere v/altre partecipate</t>
  </si>
  <si>
    <t>240300300900000</t>
  </si>
  <si>
    <t>Note di credito da ricevere v/altre partecipate</t>
  </si>
  <si>
    <t>D.VII.1) Debiti verso erogatori (privati accreditati e convenzionati) di prestazioni sanitarie</t>
  </si>
  <si>
    <t>D.VII.1.a) Debiti verso erogatori (privati accreditati e convenzionati) di prestazioni sanitarie</t>
  </si>
  <si>
    <t>240350100100000</t>
  </si>
  <si>
    <t>Debiti verso erogatori (privati accreditati e convenzionati) di prestazioni sanitarie</t>
  </si>
  <si>
    <t>240350100800000</t>
  </si>
  <si>
    <t>Debiti per fatture ricevute e da ricevere verso erogatori (privati accreditati e convenzionati) di prestazioni sanitarie</t>
  </si>
  <si>
    <t>240350100900000</t>
  </si>
  <si>
    <t>240350200100000</t>
  </si>
  <si>
    <t>240350200200000</t>
  </si>
  <si>
    <t>240350200400000</t>
  </si>
  <si>
    <t>240350200500000</t>
  </si>
  <si>
    <t>240350200600000</t>
  </si>
  <si>
    <t>240350200800000</t>
  </si>
  <si>
    <t>Debiti per fatture ricevute e da ricevere verso altri fornitori</t>
  </si>
  <si>
    <t>D.VII.2.b) note di credito da ricevere (altri fornitori)</t>
  </si>
  <si>
    <t>240350200900000</t>
  </si>
  <si>
    <t>240400100000000</t>
  </si>
  <si>
    <t>240400200000000</t>
  </si>
  <si>
    <t>240450100000000</t>
  </si>
  <si>
    <t>240450200000000</t>
  </si>
  <si>
    <t>240450300000000</t>
  </si>
  <si>
    <t>240450400000000</t>
  </si>
  <si>
    <t>240450500000000</t>
  </si>
  <si>
    <t>240450600000000</t>
  </si>
  <si>
    <t>240450600000010</t>
  </si>
  <si>
    <t>Transitorio IVA Extra UE</t>
  </si>
  <si>
    <t>240450700000000</t>
  </si>
  <si>
    <t>240450800000000</t>
  </si>
  <si>
    <t>240450800000010</t>
  </si>
  <si>
    <t>IVA SPLITPAYMENT differita</t>
  </si>
  <si>
    <t>240450800000020</t>
  </si>
  <si>
    <t>IVA SPLITPAYMENT da Trasco locale</t>
  </si>
  <si>
    <t>240450900000000</t>
  </si>
  <si>
    <t>240500100000000</t>
  </si>
  <si>
    <t>240500200000000</t>
  </si>
  <si>
    <t>240500300000000</t>
  </si>
  <si>
    <t>240500400000000</t>
  </si>
  <si>
    <t>240500500000000</t>
  </si>
  <si>
    <t>240500600000000</t>
  </si>
  <si>
    <t>240500700000000</t>
  </si>
  <si>
    <t>240500800000000</t>
  </si>
  <si>
    <t>240500900000000</t>
  </si>
  <si>
    <t>debiti vs/altri istituti di previdenza</t>
  </si>
  <si>
    <t>240550100000000</t>
  </si>
  <si>
    <t>240550200100000</t>
  </si>
  <si>
    <t>Debiti verso personale dipendente</t>
  </si>
  <si>
    <t>240550200200000</t>
  </si>
  <si>
    <t>240550300100000</t>
  </si>
  <si>
    <t>240550300200000</t>
  </si>
  <si>
    <t>240550400050000</t>
  </si>
  <si>
    <t>240550400100000</t>
  </si>
  <si>
    <t>240550400150000</t>
  </si>
  <si>
    <t>240550400200000</t>
  </si>
  <si>
    <t>2405504002500</t>
  </si>
  <si>
    <t>Debiti v/personale convenzionato</t>
  </si>
  <si>
    <t>240550400251000</t>
  </si>
  <si>
    <t>240550400252000</t>
  </si>
  <si>
    <t>240550400300000</t>
  </si>
  <si>
    <t>240550400350000</t>
  </si>
  <si>
    <t>240550400400000</t>
  </si>
  <si>
    <t>2405504005000</t>
  </si>
  <si>
    <t>Debiti v/organi direttivi e istituzionali</t>
  </si>
  <si>
    <t>240550400501000</t>
  </si>
  <si>
    <t>240550400502000</t>
  </si>
  <si>
    <t>240550400550000</t>
  </si>
  <si>
    <t>240550400600000</t>
  </si>
  <si>
    <t>Depositi cauzionali v/organi direttivi e istituzionali</t>
  </si>
  <si>
    <t>2405504007000</t>
  </si>
  <si>
    <t>240550400701000</t>
  </si>
  <si>
    <t>Acconti su contributi</t>
  </si>
  <si>
    <t>240550400702000</t>
  </si>
  <si>
    <t>Altri debiti - altro</t>
  </si>
  <si>
    <t>240550400800000</t>
  </si>
  <si>
    <t>240550400900000</t>
  </si>
  <si>
    <t>250100100000000</t>
  </si>
  <si>
    <t>250100200000000</t>
  </si>
  <si>
    <t>250200100000000</t>
  </si>
  <si>
    <t>250200200000000</t>
  </si>
  <si>
    <t>E.II.3) Risconti passivi - in attuazione dell'art. 79, comma 1 sexies lettera c), del D.L. 112/2008, convertito con legge 133/2008 e della legge 23 dicembre 2009 n. 191</t>
  </si>
  <si>
    <t>250200300000000</t>
  </si>
  <si>
    <t>Risconti passivi - in attuazione dell'art.79, comma 1 sexies lettera c), del D.L. 112/2008, convertito con legge 133/2008 e della legge 23 dicembre 2009 n. 191.</t>
  </si>
  <si>
    <t>295100000000000</t>
  </si>
  <si>
    <t>C.O.P. CANONI DI LEASING ANCORA DA PAGARE</t>
  </si>
  <si>
    <t>295200000000000</t>
  </si>
  <si>
    <t>C.O.P. DEPOSITI CAUZIONALI</t>
  </si>
  <si>
    <t>295300000000000</t>
  </si>
  <si>
    <t>C.O.P. BENI IN COMODATO</t>
  </si>
  <si>
    <t>295350000000000</t>
  </si>
  <si>
    <t>C.O.P. CANONI DI PROJECT FINANCING ANCORA DA PAGARE</t>
  </si>
  <si>
    <t>295400100000000</t>
  </si>
  <si>
    <t>C.O.P. Beni di terzi presso l'Azienda</t>
  </si>
  <si>
    <t>295400200000000</t>
  </si>
  <si>
    <t>C.O.P. Garanzie prestate (fideiussioni, avalli, altre garanzie personali e reali)</t>
  </si>
  <si>
    <t>295400300000000</t>
  </si>
  <si>
    <t>C.O.P. Garanzie ricevute (fideiussioni, avalli, altre garanzie personali e reali)</t>
  </si>
  <si>
    <t>295400400000000</t>
  </si>
  <si>
    <t>C.O.P. Beni in contenzioso</t>
  </si>
  <si>
    <t>295400900000000</t>
  </si>
  <si>
    <t>C.O.P. Altri impegni assunti</t>
  </si>
  <si>
    <t>ARCS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</si>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</sst>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#,##0_ ;\-#,##0\ "/>
    <numFmt numFmtId="176" formatCode="_-* #,##0_-;\-* #,##0_-;_-* &quot;-&quot;??_-;_-@_-"/>
    <numFmt numFmtId="177" formatCode="_-* #,##0.0\ _€_-;\-* #,##0.0\ _€_-;_-* &quot;-&quot;??\ _€_-;_-@_-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DecimaWE Rg"/>
    </font>
    <font>
      <sz val="10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8"/>
      <color indexed="8"/>
      <name val="DecimaWE Rg"/>
    </font>
    <font>
      <sz val="8"/>
      <name val="Times New Roman"/>
      <family val="1"/>
    </font>
    <font>
      <sz val="9"/>
      <color indexed="8"/>
      <name val="DecimaWE Rg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DecimaWE Rg"/>
    </font>
    <font>
      <sz val="8"/>
      <color rgb="FFFF0000"/>
      <name val="DecimaWE Rg"/>
    </font>
    <font>
      <b/>
      <sz val="8"/>
      <color rgb="FFFF0000"/>
      <name val="DecimaWE Rg"/>
    </font>
    <font>
      <sz val="9"/>
      <color indexed="81"/>
      <name val="Tahoma"/>
      <family val="2"/>
    </font>
    <font>
      <sz val="16"/>
      <name val="Tahoma"/>
      <family val="2"/>
    </font>
    <font>
      <sz val="12"/>
      <color theme="0"/>
      <name val="Tahoma"/>
      <family val="2"/>
    </font>
    <font>
      <b/>
      <sz val="16"/>
      <color rgb="FFFF0000"/>
      <name val="Tahoma"/>
      <family val="2"/>
    </font>
    <font>
      <sz val="10"/>
      <color theme="0"/>
      <name val="Tahoma"/>
      <family val="2"/>
    </font>
    <font>
      <b/>
      <sz val="10"/>
      <color rgb="FFFF0000"/>
      <name val="Tahoma"/>
      <family val="2"/>
    </font>
    <font>
      <sz val="9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trike/>
      <sz val="10"/>
      <name val="Tahoma"/>
      <family val="2"/>
    </font>
    <font>
      <b/>
      <sz val="10"/>
      <color indexed="9"/>
      <name val="Arial"/>
      <family val="2"/>
    </font>
    <font>
      <sz val="8"/>
      <name val="Univers 45 Light"/>
    </font>
    <font>
      <b/>
      <sz val="8"/>
      <color rgb="FFFF0000"/>
      <name val="Univers 45 Light"/>
    </font>
    <font>
      <b/>
      <sz val="8"/>
      <name val="Univers 45 Light"/>
    </font>
    <font>
      <b/>
      <i/>
      <sz val="8"/>
      <color rgb="FFFF0000"/>
      <name val="Univers 45 Light"/>
    </font>
    <font>
      <b/>
      <i/>
      <sz val="8"/>
      <name val="Univers 45 Light"/>
    </font>
    <font>
      <sz val="10"/>
      <name val="Book Antiqua"/>
      <family val="1"/>
    </font>
    <font>
      <i/>
      <sz val="8"/>
      <name val="Univers 45 Light"/>
    </font>
    <font>
      <b/>
      <i/>
      <sz val="8"/>
      <color indexed="9"/>
      <name val="Univers 45 Light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34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6" borderId="0" applyNumberFormat="0" applyBorder="0" applyAlignment="0" applyProtection="0"/>
    <xf numFmtId="0" fontId="20" fillId="5" borderId="38" applyNumberFormat="0" applyAlignment="0" applyProtection="0"/>
    <xf numFmtId="0" fontId="21" fillId="0" borderId="39" applyNumberFormat="0" applyFill="0" applyAlignment="0" applyProtection="0"/>
    <xf numFmtId="0" fontId="22" fillId="14" borderId="40" applyNumberFormat="0" applyAlignment="0" applyProtection="0"/>
    <xf numFmtId="0" fontId="23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38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4" fillId="6" borderId="38" applyNumberFormat="0" applyAlignment="0" applyProtection="0"/>
    <xf numFmtId="170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7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11" borderId="0" applyNumberFormat="0" applyBorder="0" applyAlignment="0" applyProtection="0"/>
    <xf numFmtId="0" fontId="7" fillId="0" borderId="0"/>
    <xf numFmtId="0" fontId="1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27" fillId="7" borderId="41" applyNumberFormat="0" applyAlignment="0" applyProtection="0"/>
    <xf numFmtId="0" fontId="29" fillId="9" borderId="42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30" fillId="19" borderId="43">
      <alignment vertical="center"/>
    </xf>
    <xf numFmtId="49" fontId="7" fillId="20" borderId="43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5" fillId="0" borderId="4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7" applyNumberFormat="0" applyFill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17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58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5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6" fillId="0" borderId="0"/>
    <xf numFmtId="166" fontId="97" fillId="0" borderId="0"/>
  </cellStyleXfs>
  <cellXfs count="90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6" fontId="8" fillId="0" borderId="0" xfId="2" applyNumberFormat="1" applyFont="1" applyFill="1" applyAlignment="1">
      <alignment vertical="center"/>
    </xf>
    <xf numFmtId="166" fontId="10" fillId="0" borderId="0" xfId="2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166" fontId="10" fillId="0" borderId="0" xfId="2" quotePrefix="1" applyNumberFormat="1" applyFont="1" applyFill="1" applyBorder="1" applyAlignment="1" applyProtection="1">
      <alignment horizontal="center" vertical="center" wrapText="1"/>
    </xf>
    <xf numFmtId="10" fontId="10" fillId="0" borderId="0" xfId="2" quotePrefix="1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10" fontId="10" fillId="0" borderId="0" xfId="2" applyNumberFormat="1" applyFont="1" applyFill="1" applyBorder="1" applyAlignment="1" applyProtection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0" fontId="11" fillId="0" borderId="0" xfId="3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10" fontId="13" fillId="0" borderId="0" xfId="3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10" fontId="10" fillId="0" borderId="0" xfId="3" applyNumberFormat="1" applyFont="1" applyFill="1" applyBorder="1" applyAlignment="1" applyProtection="1">
      <alignment horizontal="righ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10" fontId="8" fillId="0" borderId="0" xfId="2" applyNumberFormat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vertical="center"/>
    </xf>
    <xf numFmtId="0" fontId="41" fillId="23" borderId="0" xfId="4" applyFont="1" applyFill="1" applyAlignment="1">
      <alignment vertical="center"/>
    </xf>
    <xf numFmtId="0" fontId="44" fillId="24" borderId="0" xfId="4" applyFont="1" applyFill="1" applyAlignment="1">
      <alignment vertical="center"/>
    </xf>
    <xf numFmtId="0" fontId="45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3" fillId="0" borderId="0" xfId="4" applyFont="1" applyAlignment="1">
      <alignment horizontal="center" vertical="center" wrapText="1"/>
    </xf>
    <xf numFmtId="0" fontId="43" fillId="23" borderId="0" xfId="4" applyFont="1" applyFill="1" applyAlignment="1">
      <alignment horizontal="center" vertical="center" wrapText="1"/>
    </xf>
    <xf numFmtId="0" fontId="47" fillId="24" borderId="0" xfId="4" applyFont="1" applyFill="1" applyAlignment="1">
      <alignment vertical="center"/>
    </xf>
    <xf numFmtId="0" fontId="45" fillId="23" borderId="0" xfId="4" applyFont="1" applyFill="1" applyAlignment="1">
      <alignment vertical="center"/>
    </xf>
    <xf numFmtId="0" fontId="45" fillId="23" borderId="0" xfId="4" applyFont="1" applyFill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40" fillId="25" borderId="30" xfId="4" applyFont="1" applyFill="1" applyBorder="1" applyAlignment="1">
      <alignment horizontal="left" vertical="center"/>
    </xf>
    <xf numFmtId="0" fontId="40" fillId="25" borderId="31" xfId="4" applyFont="1" applyFill="1" applyBorder="1" applyAlignment="1">
      <alignment horizontal="center" vertical="center"/>
    </xf>
    <xf numFmtId="0" fontId="40" fillId="3" borderId="32" xfId="4" applyFont="1" applyFill="1" applyBorder="1" applyAlignment="1">
      <alignment horizontal="center" vertical="center"/>
    </xf>
    <xf numFmtId="0" fontId="45" fillId="0" borderId="23" xfId="4" applyFont="1" applyBorder="1" applyAlignment="1">
      <alignment horizontal="center" vertical="center"/>
    </xf>
    <xf numFmtId="0" fontId="45" fillId="0" borderId="24" xfId="4" applyFont="1" applyBorder="1" applyAlignment="1">
      <alignment horizontal="center" vertical="center"/>
    </xf>
    <xf numFmtId="0" fontId="45" fillId="23" borderId="24" xfId="4" applyFont="1" applyFill="1" applyBorder="1" applyAlignment="1">
      <alignment horizontal="center" vertical="center"/>
    </xf>
    <xf numFmtId="0" fontId="45" fillId="23" borderId="48" xfId="4" applyFont="1" applyFill="1" applyBorder="1" applyAlignment="1">
      <alignment horizontal="center" vertical="center"/>
    </xf>
    <xf numFmtId="0" fontId="45" fillId="0" borderId="13" xfId="4" applyFont="1" applyBorder="1" applyAlignment="1">
      <alignment horizontal="center" vertical="center"/>
    </xf>
    <xf numFmtId="0" fontId="45" fillId="23" borderId="34" xfId="4" applyFont="1" applyFill="1" applyBorder="1" applyAlignment="1">
      <alignment horizontal="center" vertical="center"/>
    </xf>
    <xf numFmtId="0" fontId="45" fillId="23" borderId="51" xfId="4" applyFont="1" applyFill="1" applyBorder="1" applyAlignment="1">
      <alignment horizontal="center" vertical="center"/>
    </xf>
    <xf numFmtId="0" fontId="45" fillId="23" borderId="0" xfId="4" applyFont="1" applyFill="1" applyAlignment="1">
      <alignment horizontal="right" vertical="center"/>
    </xf>
    <xf numFmtId="0" fontId="45" fillId="0" borderId="49" xfId="4" applyFont="1" applyBorder="1" applyAlignment="1">
      <alignment horizontal="center" vertical="center"/>
    </xf>
    <xf numFmtId="0" fontId="45" fillId="0" borderId="27" xfId="4" applyFont="1" applyBorder="1" applyAlignment="1">
      <alignment horizontal="center" vertical="center"/>
    </xf>
    <xf numFmtId="0" fontId="45" fillId="23" borderId="27" xfId="4" applyFont="1" applyFill="1" applyBorder="1" applyAlignment="1">
      <alignment horizontal="center" vertical="center"/>
    </xf>
    <xf numFmtId="0" fontId="45" fillId="23" borderId="50" xfId="4" applyFont="1" applyFill="1" applyBorder="1" applyAlignment="1">
      <alignment horizontal="center" vertical="center"/>
    </xf>
    <xf numFmtId="0" fontId="41" fillId="23" borderId="23" xfId="4" applyFont="1" applyFill="1" applyBorder="1" applyAlignment="1">
      <alignment vertical="center"/>
    </xf>
    <xf numFmtId="0" fontId="40" fillId="0" borderId="24" xfId="4" applyFont="1" applyBorder="1" applyAlignment="1">
      <alignment horizontal="center" vertical="center"/>
    </xf>
    <xf numFmtId="0" fontId="40" fillId="23" borderId="24" xfId="4" applyFont="1" applyFill="1" applyBorder="1" applyAlignment="1">
      <alignment horizontal="center" vertical="center"/>
    </xf>
    <xf numFmtId="0" fontId="41" fillId="23" borderId="13" xfId="4" applyFont="1" applyFill="1" applyBorder="1" applyAlignment="1">
      <alignment vertical="center"/>
    </xf>
    <xf numFmtId="0" fontId="41" fillId="23" borderId="49" xfId="4" applyFont="1" applyFill="1" applyBorder="1" applyAlignment="1">
      <alignment vertical="center"/>
    </xf>
    <xf numFmtId="0" fontId="40" fillId="23" borderId="0" xfId="4" applyFont="1" applyFill="1" applyAlignment="1">
      <alignment horizontal="center" vertical="center" wrapText="1"/>
    </xf>
    <xf numFmtId="0" fontId="40" fillId="0" borderId="0" xfId="4" applyFont="1" applyAlignment="1">
      <alignment horizontal="center" vertical="center" wrapText="1"/>
    </xf>
    <xf numFmtId="0" fontId="41" fillId="24" borderId="0" xfId="4" applyFont="1" applyFill="1" applyAlignment="1">
      <alignment vertical="center" wrapText="1"/>
    </xf>
    <xf numFmtId="0" fontId="48" fillId="0" borderId="23" xfId="5" applyFont="1" applyBorder="1" applyAlignment="1">
      <alignment horizontal="center" vertical="center" wrapText="1"/>
    </xf>
    <xf numFmtId="0" fontId="48" fillId="24" borderId="0" xfId="5" applyFont="1" applyFill="1" applyAlignment="1">
      <alignment vertical="center" wrapText="1"/>
    </xf>
    <xf numFmtId="0" fontId="48" fillId="24" borderId="0" xfId="5" applyFont="1" applyFill="1" applyAlignment="1">
      <alignment vertical="center"/>
    </xf>
    <xf numFmtId="0" fontId="48" fillId="0" borderId="37" xfId="5" applyFont="1" applyBorder="1" applyAlignment="1">
      <alignment horizontal="center" vertical="center" wrapText="1"/>
    </xf>
    <xf numFmtId="0" fontId="48" fillId="0" borderId="37" xfId="5" applyFont="1" applyBorder="1" applyAlignment="1">
      <alignment horizontal="left" vertical="center" wrapText="1"/>
    </xf>
    <xf numFmtId="0" fontId="40" fillId="0" borderId="0" xfId="4" applyFont="1" applyAlignment="1">
      <alignment vertical="center" wrapText="1"/>
    </xf>
    <xf numFmtId="0" fontId="54" fillId="0" borderId="37" xfId="5" applyFont="1" applyBorder="1" applyAlignment="1">
      <alignment horizontal="center" vertical="center" wrapText="1"/>
    </xf>
    <xf numFmtId="0" fontId="54" fillId="0" borderId="37" xfId="5" applyFont="1" applyBorder="1" applyAlignment="1">
      <alignment horizontal="left" vertical="center" wrapText="1"/>
    </xf>
    <xf numFmtId="0" fontId="53" fillId="0" borderId="37" xfId="5" applyFont="1" applyBorder="1" applyAlignment="1">
      <alignment horizontal="center" vertical="center" wrapText="1"/>
    </xf>
    <xf numFmtId="0" fontId="53" fillId="0" borderId="37" xfId="5" applyFont="1" applyBorder="1" applyAlignment="1">
      <alignment horizontal="left" vertical="center" wrapText="1"/>
    </xf>
    <xf numFmtId="0" fontId="45" fillId="0" borderId="37" xfId="5" applyFont="1" applyBorder="1" applyAlignment="1">
      <alignment horizontal="center" vertical="center" wrapText="1"/>
    </xf>
    <xf numFmtId="0" fontId="45" fillId="0" borderId="37" xfId="5" applyFont="1" applyBorder="1" applyAlignment="1">
      <alignment horizontal="left" vertical="center" wrapText="1"/>
    </xf>
    <xf numFmtId="0" fontId="45" fillId="24" borderId="37" xfId="5" applyFont="1" applyFill="1" applyBorder="1" applyAlignment="1">
      <alignment horizontal="center" vertical="center" wrapText="1"/>
    </xf>
    <xf numFmtId="0" fontId="45" fillId="24" borderId="37" xfId="5" applyFont="1" applyFill="1" applyBorder="1" applyAlignment="1">
      <alignment horizontal="left" vertical="center" wrapText="1"/>
    </xf>
    <xf numFmtId="0" fontId="52" fillId="0" borderId="0" xfId="4" applyFont="1" applyAlignment="1">
      <alignment vertical="center" wrapText="1"/>
    </xf>
    <xf numFmtId="0" fontId="53" fillId="24" borderId="37" xfId="5" applyFont="1" applyFill="1" applyBorder="1" applyAlignment="1">
      <alignment horizontal="center" vertical="center" wrapText="1"/>
    </xf>
    <xf numFmtId="0" fontId="53" fillId="24" borderId="37" xfId="5" applyFont="1" applyFill="1" applyBorder="1" applyAlignment="1">
      <alignment horizontal="left" vertical="center" wrapText="1"/>
    </xf>
    <xf numFmtId="0" fontId="53" fillId="24" borderId="55" xfId="5" applyFont="1" applyFill="1" applyBorder="1" applyAlignment="1">
      <alignment horizontal="left" vertical="center" wrapText="1"/>
    </xf>
    <xf numFmtId="0" fontId="45" fillId="24" borderId="0" xfId="5" applyFont="1" applyFill="1" applyAlignment="1">
      <alignment vertical="center"/>
    </xf>
    <xf numFmtId="0" fontId="45" fillId="24" borderId="0" xfId="4" applyFont="1" applyFill="1" applyAlignment="1">
      <alignment horizontal="center" vertical="center"/>
    </xf>
    <xf numFmtId="0" fontId="45" fillId="24" borderId="0" xfId="4" applyFont="1" applyFill="1" applyAlignment="1">
      <alignment vertical="center"/>
    </xf>
    <xf numFmtId="0" fontId="41" fillId="24" borderId="0" xfId="4" applyFont="1" applyFill="1" applyAlignment="1">
      <alignment vertical="center"/>
    </xf>
    <xf numFmtId="0" fontId="41" fillId="23" borderId="0" xfId="4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5" fillId="0" borderId="0" xfId="5" applyFont="1" applyAlignment="1">
      <alignment vertical="center"/>
    </xf>
    <xf numFmtId="0" fontId="45" fillId="0" borderId="0" xfId="4" applyFont="1" applyAlignment="1">
      <alignment vertical="center"/>
    </xf>
    <xf numFmtId="0" fontId="54" fillId="4" borderId="37" xfId="5" applyFont="1" applyFill="1" applyBorder="1" applyAlignment="1">
      <alignment horizontal="center" vertical="center" wrapText="1"/>
    </xf>
    <xf numFmtId="0" fontId="54" fillId="4" borderId="37" xfId="5" applyFont="1" applyFill="1" applyBorder="1" applyAlignment="1">
      <alignment horizontal="left" vertical="center" wrapText="1"/>
    </xf>
    <xf numFmtId="0" fontId="49" fillId="26" borderId="52" xfId="5" applyFont="1" applyFill="1" applyBorder="1" applyAlignment="1">
      <alignment horizontal="center" vertical="center" wrapText="1"/>
    </xf>
    <xf numFmtId="0" fontId="50" fillId="26" borderId="52" xfId="5" applyFont="1" applyFill="1" applyBorder="1" applyAlignment="1">
      <alignment vertical="center" wrapText="1"/>
    </xf>
    <xf numFmtId="164" fontId="51" fillId="26" borderId="53" xfId="115" applyFont="1" applyFill="1" applyBorder="1" applyAlignment="1">
      <alignment horizontal="right" vertical="center" wrapText="1"/>
    </xf>
    <xf numFmtId="0" fontId="48" fillId="27" borderId="37" xfId="5" applyFont="1" applyFill="1" applyBorder="1" applyAlignment="1">
      <alignment horizontal="center" vertical="center" wrapText="1"/>
    </xf>
    <xf numFmtId="0" fontId="48" fillId="27" borderId="37" xfId="5" applyFont="1" applyFill="1" applyBorder="1" applyAlignment="1">
      <alignment horizontal="left" vertical="center" wrapText="1"/>
    </xf>
    <xf numFmtId="0" fontId="48" fillId="28" borderId="37" xfId="5" applyFont="1" applyFill="1" applyBorder="1" applyAlignment="1">
      <alignment horizontal="center" vertical="center" wrapText="1"/>
    </xf>
    <xf numFmtId="0" fontId="48" fillId="28" borderId="37" xfId="5" applyFont="1" applyFill="1" applyBorder="1" applyAlignment="1">
      <alignment horizontal="left" vertical="center" wrapText="1"/>
    </xf>
    <xf numFmtId="0" fontId="53" fillId="29" borderId="37" xfId="5" applyFont="1" applyFill="1" applyBorder="1" applyAlignment="1">
      <alignment horizontal="center" vertical="center" wrapText="1"/>
    </xf>
    <xf numFmtId="0" fontId="53" fillId="29" borderId="37" xfId="5" applyFont="1" applyFill="1" applyBorder="1" applyAlignment="1">
      <alignment horizontal="left" vertical="center" wrapText="1"/>
    </xf>
    <xf numFmtId="0" fontId="45" fillId="30" borderId="37" xfId="5" applyFont="1" applyFill="1" applyBorder="1" applyAlignment="1">
      <alignment horizontal="center" vertical="center" wrapText="1"/>
    </xf>
    <xf numFmtId="0" fontId="45" fillId="30" borderId="37" xfId="5" applyFont="1" applyFill="1" applyBorder="1" applyAlignment="1">
      <alignment horizontal="left" vertical="center" wrapText="1"/>
    </xf>
    <xf numFmtId="0" fontId="53" fillId="30" borderId="37" xfId="5" applyFont="1" applyFill="1" applyBorder="1" applyAlignment="1">
      <alignment horizontal="center" vertical="center" wrapText="1"/>
    </xf>
    <xf numFmtId="0" fontId="53" fillId="30" borderId="37" xfId="5" applyFont="1" applyFill="1" applyBorder="1" applyAlignment="1">
      <alignment horizontal="left" vertical="center" wrapText="1"/>
    </xf>
    <xf numFmtId="0" fontId="45" fillId="26" borderId="37" xfId="5" applyFont="1" applyFill="1" applyBorder="1" applyAlignment="1">
      <alignment horizontal="center" vertical="center" wrapText="1"/>
    </xf>
    <xf numFmtId="0" fontId="48" fillId="26" borderId="37" xfId="5" applyFont="1" applyFill="1" applyBorder="1" applyAlignment="1">
      <alignment horizontal="left" vertical="center" wrapText="1"/>
    </xf>
    <xf numFmtId="0" fontId="40" fillId="26" borderId="37" xfId="5" applyFont="1" applyFill="1" applyBorder="1" applyAlignment="1">
      <alignment horizontal="left" vertical="center" wrapText="1"/>
    </xf>
    <xf numFmtId="0" fontId="54" fillId="29" borderId="37" xfId="5" applyFont="1" applyFill="1" applyBorder="1" applyAlignment="1">
      <alignment horizontal="center" vertical="center" wrapText="1"/>
    </xf>
    <xf numFmtId="0" fontId="54" fillId="29" borderId="37" xfId="5" applyFont="1" applyFill="1" applyBorder="1" applyAlignment="1">
      <alignment horizontal="left" vertical="center" wrapText="1"/>
    </xf>
    <xf numFmtId="0" fontId="56" fillId="32" borderId="37" xfId="5" applyFont="1" applyFill="1" applyBorder="1" applyAlignment="1">
      <alignment horizontal="center" vertical="center" wrapText="1"/>
    </xf>
    <xf numFmtId="0" fontId="56" fillId="32" borderId="37" xfId="5" applyFont="1" applyFill="1" applyBorder="1" applyAlignment="1">
      <alignment horizontal="left" vertical="center" wrapText="1"/>
    </xf>
    <xf numFmtId="0" fontId="56" fillId="31" borderId="37" xfId="5" applyFont="1" applyFill="1" applyBorder="1" applyAlignment="1">
      <alignment horizontal="center" vertical="center" wrapText="1"/>
    </xf>
    <xf numFmtId="0" fontId="56" fillId="31" borderId="37" xfId="5" applyFont="1" applyFill="1" applyBorder="1" applyAlignment="1">
      <alignment horizontal="left" vertical="center" wrapText="1"/>
    </xf>
    <xf numFmtId="0" fontId="45" fillId="33" borderId="37" xfId="5" applyFont="1" applyFill="1" applyBorder="1" applyAlignment="1">
      <alignment horizontal="center" vertical="center" wrapText="1"/>
    </xf>
    <xf numFmtId="0" fontId="45" fillId="33" borderId="37" xfId="5" applyFont="1" applyFill="1" applyBorder="1" applyAlignment="1">
      <alignment horizontal="left" vertical="center" wrapText="1"/>
    </xf>
    <xf numFmtId="0" fontId="48" fillId="34" borderId="18" xfId="5" applyFont="1" applyFill="1" applyBorder="1" applyAlignment="1">
      <alignment horizontal="center" vertical="center" wrapText="1"/>
    </xf>
    <xf numFmtId="0" fontId="48" fillId="34" borderId="18" xfId="5" applyFont="1" applyFill="1" applyBorder="1" applyAlignment="1">
      <alignment horizontal="left" vertical="center" wrapText="1"/>
    </xf>
    <xf numFmtId="10" fontId="11" fillId="4" borderId="54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57" xfId="3" applyNumberFormat="1" applyFont="1" applyFill="1" applyBorder="1" applyAlignment="1" applyProtection="1">
      <alignment horizontal="right" vertical="center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51" xfId="3" applyNumberFormat="1" applyFont="1" applyFill="1" applyBorder="1" applyAlignment="1" applyProtection="1">
      <alignment horizontal="right" vertical="center"/>
    </xf>
    <xf numFmtId="10" fontId="10" fillId="0" borderId="51" xfId="3" applyNumberFormat="1" applyFont="1" applyFill="1" applyBorder="1" applyAlignment="1" applyProtection="1">
      <alignment horizontal="right" vertical="center"/>
    </xf>
    <xf numFmtId="10" fontId="11" fillId="0" borderId="51" xfId="3" applyNumberFormat="1" applyFont="1" applyFill="1" applyBorder="1" applyAlignment="1" applyProtection="1">
      <alignment horizontal="right" vertical="center"/>
    </xf>
    <xf numFmtId="10" fontId="11" fillId="0" borderId="56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56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58" xfId="3" applyNumberFormat="1" applyFont="1" applyFill="1" applyBorder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 applyFill="1" applyAlignment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4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4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4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43" fontId="8" fillId="0" borderId="0" xfId="1" applyFont="1" applyAlignment="1">
      <alignment vertical="center"/>
    </xf>
    <xf numFmtId="0" fontId="48" fillId="0" borderId="5" xfId="5" applyFont="1" applyBorder="1" applyAlignment="1">
      <alignment horizontal="center" vertical="center" wrapText="1"/>
    </xf>
    <xf numFmtId="0" fontId="49" fillId="0" borderId="5" xfId="5" applyFont="1" applyBorder="1" applyAlignment="1">
      <alignment horizontal="center" vertical="center" wrapText="1"/>
    </xf>
    <xf numFmtId="0" fontId="45" fillId="0" borderId="7" xfId="5" applyFont="1" applyBorder="1" applyAlignment="1">
      <alignment horizontal="center" vertical="center" wrapText="1"/>
    </xf>
    <xf numFmtId="0" fontId="53" fillId="0" borderId="7" xfId="5" applyFont="1" applyBorder="1" applyAlignment="1">
      <alignment horizontal="center" vertical="center" wrapText="1"/>
    </xf>
    <xf numFmtId="0" fontId="45" fillId="24" borderId="7" xfId="5" applyFont="1" applyFill="1" applyBorder="1" applyAlignment="1">
      <alignment horizontal="center" vertical="center" wrapText="1"/>
    </xf>
    <xf numFmtId="0" fontId="48" fillId="0" borderId="7" xfId="5" applyFont="1" applyBorder="1" applyAlignment="1">
      <alignment horizontal="center" vertical="center" wrapText="1"/>
    </xf>
    <xf numFmtId="0" fontId="55" fillId="0" borderId="7" xfId="5" applyFont="1" applyBorder="1" applyAlignment="1">
      <alignment horizontal="center" vertical="center" wrapText="1"/>
    </xf>
    <xf numFmtId="0" fontId="48" fillId="0" borderId="7" xfId="5" quotePrefix="1" applyFont="1" applyBorder="1" applyAlignment="1">
      <alignment horizontal="center" vertical="center" wrapText="1"/>
    </xf>
    <xf numFmtId="0" fontId="48" fillId="24" borderId="7" xfId="5" applyFont="1" applyFill="1" applyBorder="1" applyAlignment="1">
      <alignment horizontal="center" vertical="center" wrapText="1"/>
    </xf>
    <xf numFmtId="0" fontId="45" fillId="24" borderId="59" xfId="5" applyFont="1" applyFill="1" applyBorder="1" applyAlignment="1">
      <alignment horizontal="center" vertical="center" wrapText="1"/>
    </xf>
    <xf numFmtId="0" fontId="40" fillId="3" borderId="31" xfId="4" applyFont="1" applyFill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164" fontId="51" fillId="0" borderId="0" xfId="115" applyFont="1" applyFill="1" applyBorder="1" applyAlignment="1">
      <alignment horizontal="right" vertical="center" wrapText="1"/>
    </xf>
    <xf numFmtId="164" fontId="57" fillId="0" borderId="0" xfId="115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43" fontId="0" fillId="0" borderId="0" xfId="1" applyFont="1"/>
    <xf numFmtId="2" fontId="11" fillId="0" borderId="0" xfId="3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61" fillId="0" borderId="0" xfId="0" applyFont="1"/>
    <xf numFmtId="164" fontId="48" fillId="24" borderId="33" xfId="115" applyFont="1" applyFill="1" applyBorder="1" applyAlignment="1" applyProtection="1">
      <alignment horizontal="center" vertical="center" wrapText="1"/>
    </xf>
    <xf numFmtId="164" fontId="48" fillId="0" borderId="0" xfId="115" applyFont="1" applyFill="1" applyBorder="1" applyAlignment="1" applyProtection="1">
      <alignment horizontal="center" vertical="center" wrapText="1"/>
    </xf>
    <xf numFmtId="0" fontId="7" fillId="0" borderId="0" xfId="0" applyFont="1"/>
    <xf numFmtId="0" fontId="45" fillId="24" borderId="0" xfId="4" applyFont="1" applyFill="1" applyAlignment="1">
      <alignment vertical="center" wrapText="1"/>
    </xf>
    <xf numFmtId="0" fontId="7" fillId="0" borderId="0" xfId="79" applyAlignment="1">
      <alignment vertical="center"/>
    </xf>
    <xf numFmtId="49" fontId="65" fillId="36" borderId="69" xfId="79" applyNumberFormat="1" applyFont="1" applyFill="1" applyBorder="1" applyAlignment="1">
      <alignment horizontal="center" vertical="center" wrapText="1"/>
    </xf>
    <xf numFmtId="49" fontId="60" fillId="0" borderId="72" xfId="79" applyNumberFormat="1" applyFont="1" applyBorder="1" applyAlignment="1">
      <alignment vertical="center" wrapText="1"/>
    </xf>
    <xf numFmtId="0" fontId="60" fillId="0" borderId="65" xfId="79" applyFont="1" applyBorder="1" applyAlignment="1">
      <alignment horizontal="left" vertical="center" wrapText="1"/>
    </xf>
    <xf numFmtId="49" fontId="60" fillId="0" borderId="65" xfId="79" applyNumberFormat="1" applyFont="1" applyBorder="1" applyAlignment="1">
      <alignment horizontal="left" vertical="center" wrapText="1"/>
    </xf>
    <xf numFmtId="49" fontId="60" fillId="0" borderId="65" xfId="79" applyNumberFormat="1" applyFont="1" applyBorder="1" applyAlignment="1">
      <alignment vertical="center" wrapText="1"/>
    </xf>
    <xf numFmtId="49" fontId="60" fillId="24" borderId="65" xfId="79" applyNumberFormat="1" applyFont="1" applyFill="1" applyBorder="1" applyAlignment="1">
      <alignment vertical="center" wrapText="1"/>
    </xf>
    <xf numFmtId="49" fontId="60" fillId="24" borderId="73" xfId="79" applyNumberFormat="1" applyFont="1" applyFill="1" applyBorder="1" applyAlignment="1">
      <alignment horizontal="left" vertical="center" wrapText="1"/>
    </xf>
    <xf numFmtId="49" fontId="66" fillId="4" borderId="75" xfId="79" applyNumberFormat="1" applyFont="1" applyFill="1" applyBorder="1" applyAlignment="1">
      <alignment horizontal="left" vertical="center" wrapText="1"/>
    </xf>
    <xf numFmtId="49" fontId="59" fillId="24" borderId="77" xfId="79" applyNumberFormat="1" applyFont="1" applyFill="1" applyBorder="1" applyAlignment="1">
      <alignment horizontal="left" vertical="center" wrapText="1"/>
    </xf>
    <xf numFmtId="49" fontId="59" fillId="24" borderId="78" xfId="79" applyNumberFormat="1" applyFont="1" applyFill="1" applyBorder="1" applyAlignment="1">
      <alignment horizontal="left" vertical="center" wrapText="1"/>
    </xf>
    <xf numFmtId="49" fontId="59" fillId="24" borderId="79" xfId="79" applyNumberFormat="1" applyFont="1" applyFill="1" applyBorder="1" applyAlignment="1">
      <alignment horizontal="left" vertical="center" wrapText="1"/>
    </xf>
    <xf numFmtId="49" fontId="59" fillId="24" borderId="62" xfId="79" applyNumberFormat="1" applyFont="1" applyFill="1" applyBorder="1" applyAlignment="1">
      <alignment horizontal="left" vertical="center" wrapText="1"/>
    </xf>
    <xf numFmtId="0" fontId="60" fillId="0" borderId="72" xfId="79" applyFont="1" applyBorder="1" applyAlignment="1">
      <alignment vertical="center"/>
    </xf>
    <xf numFmtId="0" fontId="7" fillId="0" borderId="65" xfId="79" applyBorder="1" applyAlignment="1">
      <alignment vertical="center"/>
    </xf>
    <xf numFmtId="0" fontId="61" fillId="0" borderId="66" xfId="79" quotePrefix="1" applyFont="1" applyBorder="1" applyAlignment="1">
      <alignment horizontal="center" vertical="center"/>
    </xf>
    <xf numFmtId="0" fontId="7" fillId="24" borderId="65" xfId="79" applyFill="1" applyBorder="1" applyAlignment="1">
      <alignment vertical="center"/>
    </xf>
    <xf numFmtId="0" fontId="60" fillId="0" borderId="65" xfId="79" applyFont="1" applyBorder="1" applyAlignment="1">
      <alignment vertical="center"/>
    </xf>
    <xf numFmtId="49" fontId="61" fillId="0" borderId="65" xfId="79" applyNumberFormat="1" applyFont="1" applyBorder="1" applyAlignment="1">
      <alignment horizontal="left" vertical="center"/>
    </xf>
    <xf numFmtId="0" fontId="61" fillId="0" borderId="66" xfId="79" applyFont="1" applyBorder="1" applyAlignment="1">
      <alignment horizontal="center" vertical="center"/>
    </xf>
    <xf numFmtId="49" fontId="60" fillId="0" borderId="65" xfId="79" applyNumberFormat="1" applyFont="1" applyBorder="1" applyAlignment="1">
      <alignment vertical="center"/>
    </xf>
    <xf numFmtId="0" fontId="61" fillId="0" borderId="65" xfId="79" applyFont="1" applyBorder="1" applyAlignment="1">
      <alignment horizontal="left" vertical="center"/>
    </xf>
    <xf numFmtId="0" fontId="61" fillId="24" borderId="65" xfId="79" applyFont="1" applyFill="1" applyBorder="1" applyAlignment="1">
      <alignment horizontal="left" vertical="center"/>
    </xf>
    <xf numFmtId="0" fontId="60" fillId="0" borderId="65" xfId="79" applyFont="1" applyBorder="1" applyAlignment="1">
      <alignment horizontal="left" vertical="center"/>
    </xf>
    <xf numFmtId="49" fontId="60" fillId="0" borderId="65" xfId="79" applyNumberFormat="1" applyFont="1" applyBorder="1" applyAlignment="1">
      <alignment horizontal="left" vertical="center"/>
    </xf>
    <xf numFmtId="49" fontId="60" fillId="24" borderId="65" xfId="79" applyNumberFormat="1" applyFont="1" applyFill="1" applyBorder="1" applyAlignment="1">
      <alignment vertical="center"/>
    </xf>
    <xf numFmtId="49" fontId="60" fillId="24" borderId="73" xfId="79" applyNumberFormat="1" applyFont="1" applyFill="1" applyBorder="1" applyAlignment="1">
      <alignment vertical="center"/>
    </xf>
    <xf numFmtId="0" fontId="66" fillId="4" borderId="75" xfId="79" applyFont="1" applyFill="1" applyBorder="1" applyAlignment="1">
      <alignment horizontal="left" vertical="center" wrapText="1"/>
    </xf>
    <xf numFmtId="0" fontId="66" fillId="37" borderId="80" xfId="79" applyFont="1" applyFill="1" applyBorder="1" applyAlignment="1">
      <alignment horizontal="left" vertical="center" wrapText="1"/>
    </xf>
    <xf numFmtId="0" fontId="7" fillId="37" borderId="81" xfId="79" applyFill="1" applyBorder="1" applyAlignment="1">
      <alignment vertical="center"/>
    </xf>
    <xf numFmtId="49" fontId="7" fillId="0" borderId="82" xfId="5" applyNumberFormat="1" applyBorder="1" applyAlignment="1">
      <alignment horizontal="center" vertical="center" wrapText="1"/>
    </xf>
    <xf numFmtId="49" fontId="7" fillId="0" borderId="83" xfId="5" applyNumberFormat="1" applyBorder="1" applyAlignment="1">
      <alignment horizontal="center" vertical="center" wrapText="1"/>
    </xf>
    <xf numFmtId="43" fontId="7" fillId="24" borderId="83" xfId="125" applyFont="1" applyFill="1" applyBorder="1" applyAlignment="1" applyProtection="1">
      <alignment horizontal="center" vertical="center" wrapText="1"/>
    </xf>
    <xf numFmtId="49" fontId="7" fillId="24" borderId="83" xfId="5" applyNumberFormat="1" applyFill="1" applyBorder="1" applyAlignment="1">
      <alignment horizontal="center" vertical="center" wrapText="1"/>
    </xf>
    <xf numFmtId="49" fontId="7" fillId="24" borderId="84" xfId="5" applyNumberFormat="1" applyFill="1" applyBorder="1" applyAlignment="1">
      <alignment horizontal="center" vertical="center" wrapText="1"/>
    </xf>
    <xf numFmtId="49" fontId="60" fillId="4" borderId="85" xfId="79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82" xfId="79" applyFill="1" applyBorder="1" applyAlignment="1">
      <alignment horizontal="center" vertical="center"/>
    </xf>
    <xf numFmtId="49" fontId="7" fillId="0" borderId="83" xfId="79" applyNumberFormat="1" applyBorder="1" applyAlignment="1">
      <alignment horizontal="center" vertical="center" wrapText="1"/>
    </xf>
    <xf numFmtId="49" fontId="7" fillId="0" borderId="83" xfId="79" applyNumberFormat="1" applyBorder="1" applyAlignment="1">
      <alignment horizontal="center" vertical="center"/>
    </xf>
    <xf numFmtId="49" fontId="7" fillId="24" borderId="83" xfId="79" applyNumberFormat="1" applyFill="1" applyBorder="1" applyAlignment="1">
      <alignment horizontal="center" vertical="center"/>
    </xf>
    <xf numFmtId="3" fontId="7" fillId="0" borderId="83" xfId="79" applyNumberFormat="1" applyBorder="1" applyAlignment="1">
      <alignment horizontal="center" vertical="center" wrapText="1"/>
    </xf>
    <xf numFmtId="0" fontId="7" fillId="0" borderId="83" xfId="79" applyBorder="1" applyAlignment="1">
      <alignment horizontal="center" vertical="center"/>
    </xf>
    <xf numFmtId="0" fontId="7" fillId="24" borderId="83" xfId="79" applyFill="1" applyBorder="1" applyAlignment="1">
      <alignment horizontal="center" vertical="center" wrapText="1"/>
    </xf>
    <xf numFmtId="0" fontId="7" fillId="0" borderId="83" xfId="79" quotePrefix="1" applyBorder="1" applyAlignment="1">
      <alignment horizontal="center" vertical="center"/>
    </xf>
    <xf numFmtId="0" fontId="7" fillId="0" borderId="83" xfId="79" quotePrefix="1" applyBorder="1" applyAlignment="1">
      <alignment horizontal="center" vertical="center" wrapText="1"/>
    </xf>
    <xf numFmtId="0" fontId="7" fillId="24" borderId="84" xfId="79" quotePrefix="1" applyFill="1" applyBorder="1" applyAlignment="1">
      <alignment horizontal="center" vertical="center" wrapText="1"/>
    </xf>
    <xf numFmtId="49" fontId="59" fillId="4" borderId="85" xfId="79" applyNumberFormat="1" applyFont="1" applyFill="1" applyBorder="1" applyAlignment="1">
      <alignment horizontal="left" vertical="center" wrapText="1"/>
    </xf>
    <xf numFmtId="0" fontId="67" fillId="36" borderId="63" xfId="79" applyFont="1" applyFill="1" applyBorder="1" applyAlignment="1">
      <alignment horizontal="center" vertical="center"/>
    </xf>
    <xf numFmtId="0" fontId="67" fillId="36" borderId="66" xfId="79" applyFont="1" applyFill="1" applyBorder="1" applyAlignment="1">
      <alignment horizontal="center" vertical="center"/>
    </xf>
    <xf numFmtId="0" fontId="67" fillId="36" borderId="70" xfId="79" applyFont="1" applyFill="1" applyBorder="1" applyAlignment="1">
      <alignment horizontal="center" vertical="center"/>
    </xf>
    <xf numFmtId="2" fontId="67" fillId="0" borderId="68" xfId="5" applyNumberFormat="1" applyFont="1" applyBorder="1" applyAlignment="1">
      <alignment horizontal="center" vertical="center" wrapText="1"/>
    </xf>
    <xf numFmtId="1" fontId="67" fillId="0" borderId="66" xfId="5" applyNumberFormat="1" applyFont="1" applyBorder="1" applyAlignment="1">
      <alignment horizontal="center" vertical="center" wrapText="1"/>
    </xf>
    <xf numFmtId="1" fontId="67" fillId="0" borderId="74" xfId="5" applyNumberFormat="1" applyFont="1" applyBorder="1" applyAlignment="1">
      <alignment horizontal="center" vertical="center" wrapText="1"/>
    </xf>
    <xf numFmtId="49" fontId="68" fillId="4" borderId="76" xfId="79" applyNumberFormat="1" applyFont="1" applyFill="1" applyBorder="1" applyAlignment="1">
      <alignment horizontal="center" vertical="center" wrapText="1"/>
    </xf>
    <xf numFmtId="49" fontId="67" fillId="24" borderId="78" xfId="79" applyNumberFormat="1" applyFont="1" applyFill="1" applyBorder="1" applyAlignment="1">
      <alignment horizontal="left" vertical="center" wrapText="1"/>
    </xf>
    <xf numFmtId="49" fontId="67" fillId="24" borderId="62" xfId="79" applyNumberFormat="1" applyFont="1" applyFill="1" applyBorder="1" applyAlignment="1">
      <alignment horizontal="left" vertical="center" wrapText="1"/>
    </xf>
    <xf numFmtId="49" fontId="67" fillId="36" borderId="70" xfId="79" applyNumberFormat="1" applyFont="1" applyFill="1" applyBorder="1" applyAlignment="1">
      <alignment horizontal="center" vertical="center" wrapText="1"/>
    </xf>
    <xf numFmtId="49" fontId="67" fillId="0" borderId="68" xfId="79" applyNumberFormat="1" applyFont="1" applyBorder="1" applyAlignment="1">
      <alignment horizontal="center" vertical="center" wrapText="1"/>
    </xf>
    <xf numFmtId="0" fontId="67" fillId="0" borderId="66" xfId="79" quotePrefix="1" applyFont="1" applyBorder="1" applyAlignment="1">
      <alignment horizontal="center" vertical="center"/>
    </xf>
    <xf numFmtId="0" fontId="67" fillId="0" borderId="66" xfId="79" quotePrefix="1" applyFont="1" applyBorder="1" applyAlignment="1">
      <alignment horizontal="center" vertical="center" wrapText="1"/>
    </xf>
    <xf numFmtId="0" fontId="67" fillId="0" borderId="74" xfId="79" quotePrefix="1" applyFont="1" applyBorder="1" applyAlignment="1">
      <alignment horizontal="center" vertical="center"/>
    </xf>
    <xf numFmtId="0" fontId="67" fillId="4" borderId="76" xfId="79" applyFont="1" applyFill="1" applyBorder="1" applyAlignment="1">
      <alignment horizontal="center" vertical="center" wrapText="1"/>
    </xf>
    <xf numFmtId="0" fontId="67" fillId="0" borderId="0" xfId="79" applyFont="1" applyAlignment="1">
      <alignment vertical="center"/>
    </xf>
    <xf numFmtId="0" fontId="67" fillId="37" borderId="81" xfId="79" applyFont="1" applyFill="1" applyBorder="1" applyAlignment="1">
      <alignment horizontal="center" vertical="center" wrapText="1"/>
    </xf>
    <xf numFmtId="0" fontId="48" fillId="0" borderId="30" xfId="5" applyFont="1" applyBorder="1" applyAlignment="1">
      <alignment horizontal="center" vertical="center" wrapText="1"/>
    </xf>
    <xf numFmtId="10" fontId="11" fillId="0" borderId="51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51" xfId="3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6" fillId="3" borderId="31" xfId="1" applyFont="1" applyFill="1" applyBorder="1" applyAlignment="1">
      <alignment horizontal="center" vertical="center"/>
    </xf>
    <xf numFmtId="0" fontId="40" fillId="3" borderId="30" xfId="4" applyFont="1" applyFill="1" applyBorder="1" applyAlignment="1">
      <alignment horizontal="left" vertical="center"/>
    </xf>
    <xf numFmtId="43" fontId="42" fillId="23" borderId="24" xfId="1" applyFont="1" applyFill="1" applyBorder="1" applyAlignment="1">
      <alignment horizontal="center" vertical="center"/>
    </xf>
    <xf numFmtId="0" fontId="45" fillId="23" borderId="23" xfId="4" applyFont="1" applyFill="1" applyBorder="1" applyAlignment="1">
      <alignment horizontal="center" vertical="center"/>
    </xf>
    <xf numFmtId="43" fontId="42" fillId="23" borderId="0" xfId="1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center" vertical="center"/>
    </xf>
    <xf numFmtId="43" fontId="42" fillId="23" borderId="27" xfId="1" applyFont="1" applyFill="1" applyBorder="1" applyAlignment="1">
      <alignment horizontal="center" vertical="center"/>
    </xf>
    <xf numFmtId="0" fontId="45" fillId="23" borderId="49" xfId="4" applyFont="1" applyFill="1" applyBorder="1" applyAlignment="1">
      <alignment horizontal="center" vertical="center"/>
    </xf>
    <xf numFmtId="0" fontId="40" fillId="23" borderId="48" xfId="4" applyFont="1" applyFill="1" applyBorder="1" applyAlignment="1">
      <alignment horizontal="center" vertical="center"/>
    </xf>
    <xf numFmtId="0" fontId="45" fillId="24" borderId="34" xfId="4" applyFont="1" applyFill="1" applyBorder="1" applyAlignment="1">
      <alignment horizontal="center" vertical="center"/>
    </xf>
    <xf numFmtId="164" fontId="42" fillId="24" borderId="34" xfId="115" applyFont="1" applyFill="1" applyBorder="1" applyAlignment="1">
      <alignment horizontal="center" vertical="center"/>
    </xf>
    <xf numFmtId="0" fontId="62" fillId="0" borderId="0" xfId="0" applyFont="1"/>
    <xf numFmtId="0" fontId="47" fillId="24" borderId="0" xfId="4" applyFont="1" applyFill="1" applyAlignment="1">
      <alignment horizontal="center" vertical="center"/>
    </xf>
    <xf numFmtId="0" fontId="47" fillId="0" borderId="0" xfId="4" applyFont="1" applyAlignment="1">
      <alignment vertical="center"/>
    </xf>
    <xf numFmtId="164" fontId="42" fillId="24" borderId="0" xfId="115" applyFont="1" applyFill="1" applyBorder="1" applyAlignment="1">
      <alignment horizontal="center" vertical="center"/>
    </xf>
    <xf numFmtId="0" fontId="6" fillId="35" borderId="33" xfId="5" applyFont="1" applyFill="1" applyBorder="1" applyAlignment="1">
      <alignment horizontal="center" vertical="center" wrapText="1"/>
    </xf>
    <xf numFmtId="43" fontId="6" fillId="35" borderId="33" xfId="1" applyFont="1" applyFill="1" applyBorder="1" applyAlignment="1" applyProtection="1">
      <alignment horizontal="center" vertical="center" wrapText="1"/>
    </xf>
    <xf numFmtId="0" fontId="70" fillId="38" borderId="3" xfId="79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left" vertical="center" wrapText="1"/>
    </xf>
    <xf numFmtId="0" fontId="70" fillId="38" borderId="3" xfId="79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left" vertical="center" wrapText="1"/>
    </xf>
    <xf numFmtId="0" fontId="72" fillId="0" borderId="3" xfId="5" applyFont="1" applyBorder="1" applyAlignment="1">
      <alignment horizontal="left" vertical="center" wrapText="1"/>
    </xf>
    <xf numFmtId="0" fontId="72" fillId="0" borderId="3" xfId="5" applyFont="1" applyBorder="1" applyAlignment="1">
      <alignment horizontal="center" vertical="center" wrapText="1"/>
    </xf>
    <xf numFmtId="0" fontId="72" fillId="4" borderId="3" xfId="79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center" vertical="center" wrapText="1"/>
    </xf>
    <xf numFmtId="43" fontId="70" fillId="38" borderId="3" xfId="1" applyFont="1" applyFill="1" applyBorder="1" applyAlignment="1">
      <alignment horizontal="left" vertical="center" wrapText="1"/>
    </xf>
    <xf numFmtId="43" fontId="72" fillId="0" borderId="3" xfId="1" applyFont="1" applyBorder="1" applyAlignment="1">
      <alignment horizontal="left" vertical="center" wrapText="1"/>
    </xf>
    <xf numFmtId="43" fontId="72" fillId="4" borderId="3" xfId="1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 wrapText="1"/>
    </xf>
    <xf numFmtId="0" fontId="72" fillId="4" borderId="3" xfId="79" applyFont="1" applyFill="1" applyBorder="1" applyAlignment="1">
      <alignment horizontal="center" vertical="center"/>
    </xf>
    <xf numFmtId="43" fontId="8" fillId="38" borderId="3" xfId="1" applyFont="1" applyFill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/>
    </xf>
    <xf numFmtId="43" fontId="72" fillId="0" borderId="3" xfId="1" applyFont="1" applyFill="1" applyBorder="1" applyAlignment="1">
      <alignment horizontal="center" vertical="center"/>
    </xf>
    <xf numFmtId="43" fontId="72" fillId="4" borderId="3" xfId="1" applyFont="1" applyFill="1" applyBorder="1" applyAlignment="1">
      <alignment horizontal="center" vertical="center"/>
    </xf>
    <xf numFmtId="0" fontId="60" fillId="0" borderId="0" xfId="0" applyFont="1"/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43" fontId="15" fillId="0" borderId="14" xfId="1" applyFont="1" applyFill="1" applyBorder="1" applyAlignment="1" applyProtection="1">
      <alignment horizontal="right" vertical="center"/>
    </xf>
    <xf numFmtId="1" fontId="10" fillId="35" borderId="30" xfId="4" applyNumberFormat="1" applyFont="1" applyFill="1" applyBorder="1" applyAlignment="1">
      <alignment horizontal="center" vertical="center"/>
    </xf>
    <xf numFmtId="0" fontId="47" fillId="0" borderId="0" xfId="5" applyFont="1" applyAlignment="1">
      <alignment vertical="center"/>
    </xf>
    <xf numFmtId="0" fontId="45" fillId="0" borderId="0" xfId="4" applyFont="1" applyAlignment="1">
      <alignment horizontal="right" vertical="center"/>
    </xf>
    <xf numFmtId="0" fontId="47" fillId="0" borderId="0" xfId="4" applyFont="1" applyAlignment="1">
      <alignment horizontal="center" vertical="center"/>
    </xf>
    <xf numFmtId="0" fontId="44" fillId="0" borderId="0" xfId="4" applyFont="1" applyAlignment="1">
      <alignment vertical="center"/>
    </xf>
    <xf numFmtId="43" fontId="6" fillId="4" borderId="33" xfId="1" applyFont="1" applyFill="1" applyBorder="1" applyAlignment="1" applyProtection="1">
      <alignment horizontal="center" vertical="center" wrapText="1"/>
    </xf>
    <xf numFmtId="164" fontId="42" fillId="23" borderId="0" xfId="115" applyFont="1" applyFill="1" applyBorder="1" applyAlignment="1">
      <alignment horizontal="center" vertical="center"/>
    </xf>
    <xf numFmtId="0" fontId="40" fillId="25" borderId="30" xfId="4" applyFont="1" applyFill="1" applyBorder="1" applyAlignment="1">
      <alignment vertical="center"/>
    </xf>
    <xf numFmtId="0" fontId="40" fillId="25" borderId="31" xfId="4" applyFont="1" applyFill="1" applyBorder="1" applyAlignment="1">
      <alignment vertical="center"/>
    </xf>
    <xf numFmtId="0" fontId="40" fillId="25" borderId="32" xfId="4" applyFont="1" applyFill="1" applyBorder="1" applyAlignment="1">
      <alignment vertical="center"/>
    </xf>
    <xf numFmtId="43" fontId="12" fillId="0" borderId="3" xfId="1" applyFon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left" vertical="center" wrapText="1"/>
    </xf>
    <xf numFmtId="43" fontId="12" fillId="0" borderId="3" xfId="1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4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43" fontId="12" fillId="38" borderId="3" xfId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38" borderId="3" xfId="1" applyFont="1" applyFill="1" applyBorder="1" applyAlignment="1">
      <alignment horizontal="left" vertical="center" wrapText="1"/>
    </xf>
    <xf numFmtId="43" fontId="75" fillId="38" borderId="3" xfId="1" applyFont="1" applyFill="1" applyBorder="1" applyAlignment="1">
      <alignment horizontal="center" vertical="center" wrapText="1"/>
    </xf>
    <xf numFmtId="43" fontId="75" fillId="38" borderId="3" xfId="1" applyFont="1" applyFill="1" applyBorder="1" applyAlignment="1">
      <alignment horizontal="left" vertical="center" wrapText="1"/>
    </xf>
    <xf numFmtId="164" fontId="76" fillId="27" borderId="35" xfId="115" applyFont="1" applyFill="1" applyBorder="1" applyAlignment="1">
      <alignment horizontal="right" vertical="center" wrapText="1"/>
    </xf>
    <xf numFmtId="164" fontId="76" fillId="4" borderId="35" xfId="115" applyFont="1" applyFill="1" applyBorder="1" applyAlignment="1">
      <alignment horizontal="right" vertical="center" wrapText="1"/>
    </xf>
    <xf numFmtId="164" fontId="76" fillId="29" borderId="35" xfId="115" applyFont="1" applyFill="1" applyBorder="1" applyAlignment="1">
      <alignment horizontal="right" vertical="center" wrapText="1"/>
    </xf>
    <xf numFmtId="164" fontId="76" fillId="0" borderId="35" xfId="115" applyFont="1" applyBorder="1" applyAlignment="1">
      <alignment horizontal="right" vertical="center" wrapText="1"/>
    </xf>
    <xf numFmtId="164" fontId="76" fillId="30" borderId="35" xfId="115" applyFont="1" applyFill="1" applyBorder="1" applyAlignment="1">
      <alignment horizontal="right" vertical="center" wrapText="1"/>
    </xf>
    <xf numFmtId="164" fontId="77" fillId="30" borderId="35" xfId="115" applyFont="1" applyFill="1" applyBorder="1" applyAlignment="1">
      <alignment horizontal="right" vertical="center" wrapText="1"/>
    </xf>
    <xf numFmtId="164" fontId="76" fillId="28" borderId="35" xfId="115" applyFont="1" applyFill="1" applyBorder="1" applyAlignment="1">
      <alignment horizontal="right" vertical="center" wrapText="1"/>
    </xf>
    <xf numFmtId="164" fontId="76" fillId="26" borderId="35" xfId="115" applyFont="1" applyFill="1" applyBorder="1" applyAlignment="1">
      <alignment horizontal="right" vertical="center" wrapText="1"/>
    </xf>
    <xf numFmtId="164" fontId="76" fillId="0" borderId="35" xfId="115" applyFont="1" applyFill="1" applyBorder="1" applyAlignment="1">
      <alignment horizontal="right" vertical="center" wrapText="1"/>
    </xf>
    <xf numFmtId="164" fontId="76" fillId="32" borderId="35" xfId="115" applyFont="1" applyFill="1" applyBorder="1" applyAlignment="1">
      <alignment horizontal="right" vertical="center" wrapText="1"/>
    </xf>
    <xf numFmtId="164" fontId="76" fillId="31" borderId="35" xfId="115" applyFont="1" applyFill="1" applyBorder="1" applyAlignment="1">
      <alignment horizontal="right" vertical="center" wrapText="1"/>
    </xf>
    <xf numFmtId="164" fontId="76" fillId="33" borderId="35" xfId="115" applyFont="1" applyFill="1" applyBorder="1" applyAlignment="1">
      <alignment horizontal="right" vertical="center" wrapText="1"/>
    </xf>
    <xf numFmtId="164" fontId="76" fillId="34" borderId="36" xfId="115" applyFont="1" applyFill="1" applyBorder="1" applyAlignment="1">
      <alignment horizontal="right" vertical="center" wrapText="1"/>
    </xf>
    <xf numFmtId="0" fontId="71" fillId="0" borderId="93" xfId="79" applyFont="1" applyBorder="1" applyAlignment="1">
      <alignment horizontal="center" vertical="center" wrapText="1"/>
    </xf>
    <xf numFmtId="0" fontId="72" fillId="0" borderId="4" xfId="79" applyFont="1" applyBorder="1" applyAlignment="1">
      <alignment horizontal="left" vertical="center" wrapText="1"/>
    </xf>
    <xf numFmtId="0" fontId="72" fillId="0" borderId="4" xfId="5" applyFont="1" applyBorder="1" applyAlignment="1">
      <alignment horizontal="left" vertical="center" wrapText="1"/>
    </xf>
    <xf numFmtId="0" fontId="72" fillId="0" borderId="4" xfId="5" applyFont="1" applyBorder="1" applyAlignment="1">
      <alignment horizontal="center" vertical="center" wrapText="1"/>
    </xf>
    <xf numFmtId="43" fontId="72" fillId="0" borderId="4" xfId="1" applyFont="1" applyBorder="1" applyAlignment="1">
      <alignment horizontal="center" vertical="center" wrapText="1"/>
    </xf>
    <xf numFmtId="0" fontId="71" fillId="0" borderId="6" xfId="79" applyFont="1" applyBorder="1" applyAlignment="1">
      <alignment horizontal="center" vertical="center" wrapText="1"/>
    </xf>
    <xf numFmtId="0" fontId="71" fillId="0" borderId="94" xfId="79" applyFont="1" applyBorder="1" applyAlignment="1">
      <alignment horizontal="center" vertical="center" wrapText="1"/>
    </xf>
    <xf numFmtId="0" fontId="72" fillId="0" borderId="92" xfId="79" applyFont="1" applyBorder="1" applyAlignment="1">
      <alignment horizontal="left" vertical="center" wrapText="1"/>
    </xf>
    <xf numFmtId="0" fontId="72" fillId="0" borderId="92" xfId="5" applyFont="1" applyBorder="1" applyAlignment="1">
      <alignment horizontal="left" vertical="center" wrapText="1"/>
    </xf>
    <xf numFmtId="0" fontId="72" fillId="0" borderId="92" xfId="5" applyFont="1" applyBorder="1" applyAlignment="1">
      <alignment horizontal="center" vertical="center" wrapText="1"/>
    </xf>
    <xf numFmtId="43" fontId="72" fillId="0" borderId="92" xfId="1" applyFont="1" applyBorder="1" applyAlignment="1">
      <alignment horizontal="center" vertical="center" wrapText="1"/>
    </xf>
    <xf numFmtId="0" fontId="70" fillId="38" borderId="93" xfId="79" applyFont="1" applyFill="1" applyBorder="1" applyAlignment="1">
      <alignment horizontal="center" vertical="center" wrapText="1"/>
    </xf>
    <xf numFmtId="0" fontId="8" fillId="38" borderId="4" xfId="79" applyFont="1" applyFill="1" applyBorder="1" applyAlignment="1">
      <alignment horizontal="left" vertical="center" wrapText="1"/>
    </xf>
    <xf numFmtId="0" fontId="70" fillId="38" borderId="4" xfId="79" applyFont="1" applyFill="1" applyBorder="1" applyAlignment="1">
      <alignment horizontal="left" vertical="center" wrapText="1"/>
    </xf>
    <xf numFmtId="0" fontId="70" fillId="38" borderId="4" xfId="79" applyFont="1" applyFill="1" applyBorder="1" applyAlignment="1">
      <alignment horizontal="center" vertical="center" wrapText="1"/>
    </xf>
    <xf numFmtId="43" fontId="70" fillId="38" borderId="4" xfId="1" applyFont="1" applyFill="1" applyBorder="1" applyAlignment="1">
      <alignment horizontal="left" vertical="center" wrapText="1"/>
    </xf>
    <xf numFmtId="0" fontId="70" fillId="38" borderId="6" xfId="79" applyFont="1" applyFill="1" applyBorder="1" applyAlignment="1">
      <alignment horizontal="center" vertical="center" wrapText="1"/>
    </xf>
    <xf numFmtId="0" fontId="73" fillId="4" borderId="6" xfId="79" applyFont="1" applyFill="1" applyBorder="1" applyAlignment="1">
      <alignment horizontal="center" vertical="center" wrapText="1"/>
    </xf>
    <xf numFmtId="0" fontId="72" fillId="38" borderId="6" xfId="79" applyFont="1" applyFill="1" applyBorder="1" applyAlignment="1">
      <alignment horizontal="center" vertical="center" wrapText="1"/>
    </xf>
    <xf numFmtId="0" fontId="69" fillId="38" borderId="6" xfId="79" applyFont="1" applyFill="1" applyBorder="1" applyAlignment="1">
      <alignment horizontal="center" vertical="center" wrapText="1"/>
    </xf>
    <xf numFmtId="43" fontId="72" fillId="0" borderId="92" xfId="1" applyFont="1" applyBorder="1" applyAlignment="1">
      <alignment horizontal="left" vertical="center" wrapText="1"/>
    </xf>
    <xf numFmtId="0" fontId="12" fillId="38" borderId="93" xfId="79" applyFont="1" applyFill="1" applyBorder="1" applyAlignment="1">
      <alignment horizontal="center" vertical="center" wrapText="1"/>
    </xf>
    <xf numFmtId="0" fontId="8" fillId="38" borderId="4" xfId="79" applyFont="1" applyFill="1" applyBorder="1" applyAlignment="1">
      <alignment horizontal="center" vertical="center" wrapText="1"/>
    </xf>
    <xf numFmtId="43" fontId="8" fillId="38" borderId="4" xfId="1" applyFont="1" applyFill="1" applyBorder="1" applyAlignment="1">
      <alignment horizontal="center" vertical="center" wrapText="1"/>
    </xf>
    <xf numFmtId="0" fontId="12" fillId="38" borderId="6" xfId="79" applyFont="1" applyFill="1" applyBorder="1" applyAlignment="1">
      <alignment horizontal="center" vertical="center" wrapText="1"/>
    </xf>
    <xf numFmtId="0" fontId="72" fillId="0" borderId="6" xfId="79" applyFont="1" applyBorder="1" applyAlignment="1">
      <alignment horizontal="center" vertical="center" wrapText="1"/>
    </xf>
    <xf numFmtId="0" fontId="72" fillId="4" borderId="6" xfId="79" applyFont="1" applyFill="1" applyBorder="1" applyAlignment="1">
      <alignment horizontal="center" vertical="center" wrapText="1"/>
    </xf>
    <xf numFmtId="0" fontId="12" fillId="4" borderId="6" xfId="79" applyFont="1" applyFill="1" applyBorder="1" applyAlignment="1">
      <alignment horizontal="center" vertical="center" wrapText="1"/>
    </xf>
    <xf numFmtId="0" fontId="72" fillId="0" borderId="94" xfId="79" applyFont="1" applyBorder="1" applyAlignment="1">
      <alignment horizontal="center" vertical="center" wrapText="1"/>
    </xf>
    <xf numFmtId="0" fontId="72" fillId="0" borderId="92" xfId="79" applyFont="1" applyBorder="1" applyAlignment="1">
      <alignment horizontal="center" vertical="center"/>
    </xf>
    <xf numFmtId="43" fontId="72" fillId="0" borderId="92" xfId="1" applyFont="1" applyBorder="1" applyAlignment="1">
      <alignment horizontal="center" vertical="center"/>
    </xf>
    <xf numFmtId="43" fontId="12" fillId="0" borderId="92" xfId="1" applyFont="1" applyBorder="1" applyAlignment="1">
      <alignment horizontal="center" vertical="center"/>
    </xf>
    <xf numFmtId="0" fontId="72" fillId="0" borderId="95" xfId="79" applyFont="1" applyBorder="1" applyAlignment="1">
      <alignment horizontal="center" vertical="center" wrapText="1"/>
    </xf>
    <xf numFmtId="0" fontId="72" fillId="0" borderId="20" xfId="79" applyFont="1" applyBorder="1" applyAlignment="1">
      <alignment horizontal="left" vertical="center" wrapText="1"/>
    </xf>
    <xf numFmtId="0" fontId="72" fillId="0" borderId="21" xfId="5" applyFont="1" applyBorder="1" applyAlignment="1">
      <alignment horizontal="left" vertical="center" wrapText="1"/>
    </xf>
    <xf numFmtId="0" fontId="72" fillId="0" borderId="21" xfId="79" applyFont="1" applyBorder="1" applyAlignment="1">
      <alignment horizontal="center" vertical="center"/>
    </xf>
    <xf numFmtId="43" fontId="72" fillId="0" borderId="21" xfId="1" applyFont="1" applyBorder="1" applyAlignment="1">
      <alignment horizontal="center" vertical="center"/>
    </xf>
    <xf numFmtId="0" fontId="43" fillId="3" borderId="23" xfId="4" applyFont="1" applyFill="1" applyBorder="1" applyAlignment="1">
      <alignment horizontal="center" vertical="center"/>
    </xf>
    <xf numFmtId="0" fontId="43" fillId="3" borderId="24" xfId="4" applyFont="1" applyFill="1" applyBorder="1" applyAlignment="1">
      <alignment horizontal="center" vertical="center"/>
    </xf>
    <xf numFmtId="0" fontId="43" fillId="3" borderId="48" xfId="4" applyFont="1" applyFill="1" applyBorder="1" applyAlignment="1">
      <alignment horizontal="center" vertical="center"/>
    </xf>
    <xf numFmtId="0" fontId="43" fillId="3" borderId="49" xfId="4" applyFont="1" applyFill="1" applyBorder="1" applyAlignment="1">
      <alignment horizontal="center" vertical="center"/>
    </xf>
    <xf numFmtId="0" fontId="43" fillId="3" borderId="27" xfId="4" applyFont="1" applyFill="1" applyBorder="1" applyAlignment="1">
      <alignment horizontal="center" vertical="center"/>
    </xf>
    <xf numFmtId="0" fontId="43" fillId="3" borderId="50" xfId="4" applyFont="1" applyFill="1" applyBorder="1" applyAlignment="1">
      <alignment horizontal="center" vertical="center"/>
    </xf>
    <xf numFmtId="0" fontId="45" fillId="23" borderId="14" xfId="4" applyFont="1" applyFill="1" applyBorder="1" applyAlignment="1">
      <alignment horizontal="right" vertical="center"/>
    </xf>
    <xf numFmtId="0" fontId="8" fillId="0" borderId="0" xfId="79" applyFont="1" applyAlignment="1">
      <alignment vertical="center"/>
    </xf>
    <xf numFmtId="20" fontId="8" fillId="0" borderId="0" xfId="79" applyNumberFormat="1" applyFont="1" applyAlignment="1">
      <alignment horizontal="center" vertical="center"/>
    </xf>
    <xf numFmtId="0" fontId="6" fillId="0" borderId="0" xfId="79" applyFont="1" applyAlignment="1">
      <alignment vertical="center"/>
    </xf>
    <xf numFmtId="0" fontId="10" fillId="0" borderId="0" xfId="79" applyFont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3" fontId="11" fillId="0" borderId="0" xfId="79" applyNumberFormat="1" applyFont="1" applyAlignment="1">
      <alignment horizontal="center" vertical="center"/>
    </xf>
    <xf numFmtId="175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7" xfId="2" quotePrefix="1" applyNumberFormat="1" applyFont="1" applyFill="1" applyBorder="1" applyAlignment="1" applyProtection="1">
      <alignment horizontal="center" vertical="center" wrapText="1"/>
    </xf>
    <xf numFmtId="0" fontId="6" fillId="0" borderId="13" xfId="79" applyFont="1" applyBorder="1" applyAlignment="1">
      <alignment horizontal="center" vertical="center" wrapText="1"/>
    </xf>
    <xf numFmtId="0" fontId="6" fillId="0" borderId="0" xfId="79" applyFont="1" applyAlignment="1">
      <alignment horizontal="center" vertical="center" wrapText="1"/>
    </xf>
    <xf numFmtId="174" fontId="6" fillId="0" borderId="9" xfId="117" applyFont="1" applyBorder="1" applyAlignment="1">
      <alignment horizontal="left" vertical="center"/>
    </xf>
    <xf numFmtId="166" fontId="10" fillId="0" borderId="9" xfId="79" applyNumberFormat="1" applyFont="1" applyBorder="1" applyAlignment="1">
      <alignment horizontal="right" vertical="center" wrapText="1"/>
    </xf>
    <xf numFmtId="166" fontId="10" fillId="0" borderId="0" xfId="79" applyNumberFormat="1" applyFont="1" applyAlignment="1">
      <alignment horizontal="right" vertical="center" wrapText="1"/>
    </xf>
    <xf numFmtId="3" fontId="10" fillId="0" borderId="11" xfId="1" applyNumberFormat="1" applyFont="1" applyBorder="1" applyAlignment="1" applyProtection="1">
      <alignment horizontal="right" vertical="center" wrapText="1"/>
    </xf>
    <xf numFmtId="175" fontId="10" fillId="0" borderId="11" xfId="1" applyNumberFormat="1" applyFont="1" applyBorder="1" applyAlignment="1" applyProtection="1">
      <alignment horizontal="right" vertical="center" wrapText="1"/>
    </xf>
    <xf numFmtId="10" fontId="10" fillId="0" borderId="12" xfId="3" applyNumberFormat="1" applyFont="1" applyFill="1" applyBorder="1" applyAlignment="1" applyProtection="1">
      <alignment horizontal="right" vertical="center" wrapText="1"/>
    </xf>
    <xf numFmtId="43" fontId="11" fillId="0" borderId="13" xfId="1" applyFont="1" applyBorder="1" applyAlignment="1" applyProtection="1">
      <alignment horizontal="center" vertical="center"/>
    </xf>
    <xf numFmtId="43" fontId="11" fillId="0" borderId="14" xfId="1" applyFont="1" applyBorder="1" applyAlignment="1" applyProtection="1">
      <alignment horizontal="left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3" fontId="15" fillId="0" borderId="15" xfId="1" applyNumberFormat="1" applyFont="1" applyFill="1" applyBorder="1" applyAlignment="1" applyProtection="1">
      <alignment horizontal="right" vertical="center"/>
    </xf>
    <xf numFmtId="3" fontId="15" fillId="0" borderId="15" xfId="1" applyNumberFormat="1" applyFont="1" applyBorder="1" applyAlignment="1" applyProtection="1">
      <alignment horizontal="right" vertical="center"/>
    </xf>
    <xf numFmtId="175" fontId="15" fillId="0" borderId="15" xfId="1" applyNumberFormat="1" applyFont="1" applyBorder="1" applyAlignment="1" applyProtection="1">
      <alignment horizontal="right" vertical="center"/>
    </xf>
    <xf numFmtId="10" fontId="15" fillId="0" borderId="16" xfId="3" applyNumberFormat="1" applyFont="1" applyFill="1" applyBorder="1" applyAlignment="1" applyProtection="1">
      <alignment horizontal="right" vertical="center"/>
    </xf>
    <xf numFmtId="0" fontId="11" fillId="0" borderId="0" xfId="79" applyFont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0" xfId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175" fontId="11" fillId="0" borderId="15" xfId="1" applyNumberFormat="1" applyFont="1" applyBorder="1" applyAlignment="1" applyProtection="1">
      <alignment horizontal="right" vertical="center"/>
    </xf>
    <xf numFmtId="164" fontId="11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10" fontId="13" fillId="0" borderId="16" xfId="3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vertical="center"/>
    </xf>
    <xf numFmtId="43" fontId="10" fillId="0" borderId="13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3" fontId="10" fillId="0" borderId="15" xfId="1" applyNumberFormat="1" applyFont="1" applyFill="1" applyBorder="1" applyAlignment="1" applyProtection="1">
      <alignment horizontal="right" vertical="center"/>
    </xf>
    <xf numFmtId="166" fontId="10" fillId="0" borderId="0" xfId="79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166" fontId="11" fillId="0" borderId="0" xfId="79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43" fontId="15" fillId="0" borderId="13" xfId="1" applyFont="1" applyBorder="1" applyAlignment="1" applyProtection="1">
      <alignment horizontal="center" vertical="center"/>
    </xf>
    <xf numFmtId="43" fontId="15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left" vertical="center"/>
    </xf>
    <xf numFmtId="43" fontId="13" fillId="0" borderId="0" xfId="1" applyFont="1" applyBorder="1" applyAlignment="1">
      <alignment vertical="center"/>
    </xf>
    <xf numFmtId="43" fontId="13" fillId="0" borderId="0" xfId="1" applyFont="1" applyBorder="1" applyAlignment="1" applyProtection="1">
      <alignment horizontal="right" vertical="center"/>
    </xf>
    <xf numFmtId="0" fontId="13" fillId="0" borderId="0" xfId="79" applyFont="1" applyAlignment="1">
      <alignment vertical="center"/>
    </xf>
    <xf numFmtId="166" fontId="13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left" vertical="center"/>
    </xf>
    <xf numFmtId="43" fontId="10" fillId="0" borderId="14" xfId="1" applyFont="1" applyFill="1" applyBorder="1" applyAlignment="1">
      <alignment vertical="center"/>
    </xf>
    <xf numFmtId="43" fontId="13" fillId="0" borderId="3" xfId="1" applyFont="1" applyBorder="1" applyAlignment="1" applyProtection="1">
      <alignment horizontal="center" vertical="center"/>
    </xf>
    <xf numFmtId="43" fontId="10" fillId="0" borderId="0" xfId="1" quotePrefix="1" applyFont="1" applyFill="1" applyBorder="1" applyAlignment="1" applyProtection="1">
      <alignment horizontal="left" vertical="center"/>
    </xf>
    <xf numFmtId="43" fontId="10" fillId="0" borderId="15" xfId="1" applyFont="1" applyBorder="1" applyAlignment="1" applyProtection="1">
      <alignment horizontal="right" vertical="center"/>
    </xf>
    <xf numFmtId="43" fontId="13" fillId="0" borderId="14" xfId="1" quotePrefix="1" applyFont="1" applyFill="1" applyBorder="1" applyAlignment="1" applyProtection="1">
      <alignment horizontal="left" vertical="center"/>
    </xf>
    <xf numFmtId="3" fontId="10" fillId="0" borderId="34" xfId="1" applyNumberFormat="1" applyFont="1" applyFill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horizontal="right" vertical="center"/>
    </xf>
    <xf numFmtId="43" fontId="10" fillId="0" borderId="97" xfId="1" applyFont="1" applyBorder="1" applyAlignment="1" applyProtection="1">
      <alignment horizontal="right" vertical="center"/>
    </xf>
    <xf numFmtId="3" fontId="11" fillId="2" borderId="3" xfId="1" applyNumberFormat="1" applyFont="1" applyFill="1" applyBorder="1" applyAlignment="1" applyProtection="1">
      <alignment horizontal="right" vertical="center"/>
    </xf>
    <xf numFmtId="3" fontId="15" fillId="2" borderId="3" xfId="1" applyNumberFormat="1" applyFont="1" applyFill="1" applyBorder="1" applyAlignment="1" applyProtection="1">
      <alignment horizontal="right" vertical="center"/>
    </xf>
    <xf numFmtId="175" fontId="11" fillId="2" borderId="3" xfId="1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right" vertical="center"/>
    </xf>
    <xf numFmtId="175" fontId="11" fillId="0" borderId="11" xfId="1" applyNumberFormat="1" applyFont="1" applyBorder="1" applyAlignment="1" applyProtection="1">
      <alignment horizontal="right" vertical="center"/>
    </xf>
    <xf numFmtId="10" fontId="11" fillId="0" borderId="12" xfId="3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vertical="center"/>
    </xf>
    <xf numFmtId="43" fontId="11" fillId="0" borderId="14" xfId="1" applyFont="1" applyFill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15" fillId="0" borderId="14" xfId="1" applyFont="1" applyFill="1" applyBorder="1" applyAlignment="1" applyProtection="1">
      <alignment vertical="center"/>
    </xf>
    <xf numFmtId="43" fontId="10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76" fontId="10" fillId="0" borderId="98" xfId="1" applyNumberFormat="1" applyFont="1" applyFill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176" fontId="10" fillId="0" borderId="98" xfId="1" applyNumberFormat="1" applyFont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 wrapText="1"/>
    </xf>
    <xf numFmtId="176" fontId="10" fillId="0" borderId="15" xfId="1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 wrapText="1"/>
    </xf>
    <xf numFmtId="3" fontId="10" fillId="0" borderId="15" xfId="1" applyNumberFormat="1" applyFont="1" applyBorder="1" applyAlignment="1" applyProtection="1">
      <alignment horizontal="right" vertical="center"/>
    </xf>
    <xf numFmtId="176" fontId="10" fillId="0" borderId="95" xfId="1" applyNumberFormat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>
      <alignment horizontal="right" vertical="center"/>
    </xf>
    <xf numFmtId="3" fontId="11" fillId="0" borderId="15" xfId="1" applyNumberFormat="1" applyFont="1" applyBorder="1" applyAlignment="1">
      <alignment horizontal="right" vertical="center"/>
    </xf>
    <xf numFmtId="43" fontId="79" fillId="0" borderId="0" xfId="1" applyFont="1" applyBorder="1" applyAlignment="1" applyProtection="1">
      <alignment vertical="center"/>
    </xf>
    <xf numFmtId="43" fontId="11" fillId="0" borderId="9" xfId="1" applyFont="1" applyBorder="1" applyAlignment="1" applyProtection="1">
      <alignment vertical="center"/>
    </xf>
    <xf numFmtId="43" fontId="11" fillId="0" borderId="14" xfId="1" applyFont="1" applyBorder="1" applyAlignment="1" applyProtection="1">
      <alignment vertical="center"/>
    </xf>
    <xf numFmtId="3" fontId="11" fillId="0" borderId="14" xfId="1" applyNumberFormat="1" applyFont="1" applyBorder="1" applyAlignment="1" applyProtection="1">
      <alignment vertical="center"/>
    </xf>
    <xf numFmtId="43" fontId="11" fillId="0" borderId="97" xfId="1" applyFont="1" applyBorder="1" applyAlignment="1" applyProtection="1">
      <alignment vertical="center"/>
    </xf>
    <xf numFmtId="43" fontId="11" fillId="0" borderId="13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5" fontId="10" fillId="0" borderId="15" xfId="1" applyNumberFormat="1" applyFont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75" fontId="11" fillId="2" borderId="21" xfId="1" applyNumberFormat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vertical="center"/>
    </xf>
    <xf numFmtId="3" fontId="11" fillId="2" borderId="92" xfId="1" applyNumberFormat="1" applyFont="1" applyFill="1" applyBorder="1" applyAlignment="1" applyProtection="1">
      <alignment horizontal="right" vertical="center"/>
    </xf>
    <xf numFmtId="175" fontId="11" fillId="2" borderId="92" xfId="1" applyNumberFormat="1" applyFont="1" applyFill="1" applyBorder="1" applyAlignment="1" applyProtection="1">
      <alignment horizontal="right" vertical="center"/>
    </xf>
    <xf numFmtId="10" fontId="11" fillId="4" borderId="59" xfId="3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3" fontId="10" fillId="0" borderId="0" xfId="79" applyNumberFormat="1" applyFont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0" xfId="1" applyFont="1" applyBorder="1" applyAlignment="1" applyProtection="1">
      <alignment horizontal="center" vertical="center" wrapText="1"/>
    </xf>
    <xf numFmtId="43" fontId="11" fillId="0" borderId="0" xfId="1" applyFont="1" applyFill="1" applyBorder="1" applyAlignment="1">
      <alignment horizontal="left" vertical="center"/>
    </xf>
    <xf numFmtId="43" fontId="10" fillId="0" borderId="9" xfId="1" applyFont="1" applyBorder="1" applyAlignment="1" applyProtection="1">
      <alignment horizontal="right" vertical="center" wrapText="1"/>
    </xf>
    <xf numFmtId="43" fontId="10" fillId="0" borderId="14" xfId="1" applyFont="1" applyBorder="1" applyAlignment="1" applyProtection="1">
      <alignment horizontal="right" vertical="center" wrapText="1"/>
    </xf>
    <xf numFmtId="3" fontId="10" fillId="0" borderId="14" xfId="1" applyNumberFormat="1" applyFont="1" applyBorder="1" applyAlignment="1" applyProtection="1">
      <alignment horizontal="right" vertical="center" wrapText="1"/>
    </xf>
    <xf numFmtId="3" fontId="10" fillId="0" borderId="15" xfId="1" applyNumberFormat="1" applyFont="1" applyBorder="1" applyAlignment="1" applyProtection="1">
      <alignment horizontal="right" vertical="center" wrapText="1"/>
    </xf>
    <xf numFmtId="43" fontId="10" fillId="0" borderId="15" xfId="1" applyFont="1" applyBorder="1" applyAlignment="1" applyProtection="1">
      <alignment horizontal="right" vertical="center" wrapText="1"/>
    </xf>
    <xf numFmtId="3" fontId="10" fillId="0" borderId="16" xfId="79" applyNumberFormat="1" applyFont="1" applyBorder="1" applyAlignment="1">
      <alignment horizontal="right" vertical="center" wrapText="1"/>
    </xf>
    <xf numFmtId="3" fontId="11" fillId="0" borderId="14" xfId="1" applyNumberFormat="1" applyFont="1" applyBorder="1" applyAlignment="1" applyProtection="1">
      <alignment horizontal="right" vertical="center"/>
    </xf>
    <xf numFmtId="3" fontId="11" fillId="0" borderId="16" xfId="79" applyNumberFormat="1" applyFont="1" applyBorder="1" applyAlignment="1">
      <alignment horizontal="right" vertical="center"/>
    </xf>
    <xf numFmtId="43" fontId="11" fillId="0" borderId="0" xfId="79" applyNumberFormat="1" applyFont="1" applyAlignment="1">
      <alignment vertical="center"/>
    </xf>
    <xf numFmtId="43" fontId="11" fillId="0" borderId="0" xfId="1" applyFont="1" applyBorder="1" applyAlignment="1" applyProtection="1">
      <alignment horizontal="left" vertical="center"/>
    </xf>
    <xf numFmtId="43" fontId="15" fillId="0" borderId="0" xfId="1" applyFont="1" applyFill="1" applyBorder="1" applyAlignment="1" applyProtection="1">
      <alignment horizontal="left" vertical="center"/>
    </xf>
    <xf numFmtId="2" fontId="13" fillId="0" borderId="16" xfId="3" applyNumberFormat="1" applyFont="1" applyFill="1" applyBorder="1" applyAlignment="1" applyProtection="1">
      <alignment horizontal="right" vertical="center"/>
    </xf>
    <xf numFmtId="175" fontId="11" fillId="4" borderId="3" xfId="1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horizontal="left" vertical="center"/>
    </xf>
    <xf numFmtId="43" fontId="11" fillId="0" borderId="9" xfId="1" applyFont="1" applyBorder="1" applyAlignment="1" applyProtection="1">
      <alignment horizontal="right" vertical="center"/>
    </xf>
    <xf numFmtId="43" fontId="11" fillId="0" borderId="97" xfId="1" applyFont="1" applyBorder="1" applyAlignment="1" applyProtection="1">
      <alignment horizontal="right" vertical="center"/>
    </xf>
    <xf numFmtId="43" fontId="11" fillId="0" borderId="13" xfId="1" quotePrefix="1" applyFont="1" applyBorder="1" applyAlignment="1" applyProtection="1">
      <alignment horizontal="left" vertical="center"/>
    </xf>
    <xf numFmtId="43" fontId="11" fillId="0" borderId="0" xfId="1" quotePrefix="1" applyFont="1" applyBorder="1" applyAlignment="1" applyProtection="1">
      <alignment horizontal="center" vertical="center"/>
    </xf>
    <xf numFmtId="3" fontId="11" fillId="0" borderId="11" xfId="1" applyNumberFormat="1" applyFont="1" applyBorder="1" applyAlignment="1">
      <alignment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7" xfId="1" applyFont="1" applyBorder="1" applyAlignment="1" applyProtection="1">
      <alignment horizontal="center" vertical="center"/>
    </xf>
    <xf numFmtId="3" fontId="15" fillId="0" borderId="14" xfId="1" applyNumberFormat="1" applyFont="1" applyBorder="1" applyAlignment="1" applyProtection="1">
      <alignment horizontal="center" vertical="center"/>
    </xf>
    <xf numFmtId="43" fontId="11" fillId="0" borderId="14" xfId="1" applyFont="1" applyFill="1" applyBorder="1" applyAlignment="1">
      <alignment horizontal="left" vertical="center"/>
    </xf>
    <xf numFmtId="175" fontId="11" fillId="0" borderId="15" xfId="1" applyNumberFormat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175" fontId="10" fillId="0" borderId="15" xfId="1" applyNumberFormat="1" applyFont="1" applyFill="1" applyBorder="1" applyAlignment="1" applyProtection="1">
      <alignment horizontal="right" vertical="center"/>
    </xf>
    <xf numFmtId="43" fontId="10" fillId="0" borderId="14" xfId="1" applyFont="1" applyBorder="1" applyAlignment="1">
      <alignment horizontal="right" vertical="center"/>
    </xf>
    <xf numFmtId="43" fontId="15" fillId="0" borderId="14" xfId="1" applyFont="1" applyFill="1" applyBorder="1" applyAlignment="1" applyProtection="1">
      <alignment horizontal="left" vertical="center"/>
    </xf>
    <xf numFmtId="43" fontId="11" fillId="0" borderId="13" xfId="1" applyFont="1" applyBorder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175" fontId="11" fillId="0" borderId="34" xfId="1" applyNumberFormat="1" applyFont="1" applyFill="1" applyBorder="1" applyAlignment="1" applyProtection="1">
      <alignment horizontal="right" vertical="center"/>
    </xf>
    <xf numFmtId="43" fontId="11" fillId="0" borderId="34" xfId="1" applyFont="1" applyBorder="1" applyAlignment="1" applyProtection="1">
      <alignment horizontal="right" vertical="center"/>
    </xf>
    <xf numFmtId="175" fontId="11" fillId="4" borderId="21" xfId="1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horizontal="center" vertical="center"/>
    </xf>
    <xf numFmtId="3" fontId="10" fillId="0" borderId="0" xfId="1" applyNumberFormat="1" applyFont="1" applyAlignment="1">
      <alignment vertical="center"/>
    </xf>
    <xf numFmtId="43" fontId="10" fillId="0" borderId="0" xfId="1" applyFont="1" applyAlignment="1">
      <alignment vertical="center"/>
    </xf>
    <xf numFmtId="3" fontId="10" fillId="0" borderId="0" xfId="79" applyNumberFormat="1" applyFont="1" applyAlignment="1">
      <alignment vertical="center"/>
    </xf>
    <xf numFmtId="0" fontId="80" fillId="0" borderId="0" xfId="79" applyFont="1" applyAlignment="1">
      <alignment vertical="center"/>
    </xf>
    <xf numFmtId="0" fontId="8" fillId="0" borderId="0" xfId="79" applyFont="1" applyAlignment="1">
      <alignment horizontal="center" vertical="center"/>
    </xf>
    <xf numFmtId="0" fontId="40" fillId="23" borderId="0" xfId="4" applyFont="1" applyFill="1" applyAlignment="1">
      <alignment vertical="center"/>
    </xf>
    <xf numFmtId="177" fontId="82" fillId="23" borderId="0" xfId="128" applyNumberFormat="1" applyFont="1" applyFill="1" applyAlignment="1">
      <alignment horizontal="center" vertical="center"/>
    </xf>
    <xf numFmtId="0" fontId="44" fillId="23" borderId="0" xfId="4" applyFont="1" applyFill="1" applyAlignment="1">
      <alignment vertical="center"/>
    </xf>
    <xf numFmtId="0" fontId="83" fillId="0" borderId="0" xfId="4" applyFont="1" applyAlignment="1">
      <alignment vertical="center"/>
    </xf>
    <xf numFmtId="0" fontId="43" fillId="23" borderId="0" xfId="4" applyFont="1" applyFill="1" applyAlignment="1">
      <alignment horizontal="left" vertical="center"/>
    </xf>
    <xf numFmtId="0" fontId="43" fillId="23" borderId="0" xfId="4" applyFont="1" applyFill="1" applyAlignment="1">
      <alignment horizontal="center" vertical="center"/>
    </xf>
    <xf numFmtId="177" fontId="43" fillId="23" borderId="0" xfId="128" applyNumberFormat="1" applyFont="1" applyFill="1" applyAlignment="1">
      <alignment horizontal="center" vertical="center"/>
    </xf>
    <xf numFmtId="0" fontId="84" fillId="23" borderId="0" xfId="4" applyFont="1" applyFill="1" applyAlignment="1">
      <alignment horizontal="center" vertical="center"/>
    </xf>
    <xf numFmtId="0" fontId="85" fillId="0" borderId="0" xfId="4" applyFont="1" applyAlignment="1">
      <alignment vertical="center"/>
    </xf>
    <xf numFmtId="0" fontId="47" fillId="23" borderId="0" xfId="4" applyFont="1" applyFill="1" applyAlignment="1">
      <alignment horizontal="center" vertical="center"/>
    </xf>
    <xf numFmtId="0" fontId="40" fillId="3" borderId="30" xfId="4" applyFont="1" applyFill="1" applyBorder="1" applyAlignment="1">
      <alignment vertical="center"/>
    </xf>
    <xf numFmtId="0" fontId="45" fillId="23" borderId="23" xfId="4" applyFont="1" applyFill="1" applyBorder="1" applyAlignment="1">
      <alignment vertical="center"/>
    </xf>
    <xf numFmtId="177" fontId="82" fillId="23" borderId="24" xfId="128" applyNumberFormat="1" applyFont="1" applyFill="1" applyBorder="1" applyAlignment="1">
      <alignment horizontal="center" vertical="center"/>
    </xf>
    <xf numFmtId="0" fontId="47" fillId="23" borderId="24" xfId="4" applyFont="1" applyFill="1" applyBorder="1" applyAlignment="1">
      <alignment horizontal="center" vertical="center"/>
    </xf>
    <xf numFmtId="177" fontId="45" fillId="23" borderId="0" xfId="128" applyNumberFormat="1" applyFont="1" applyFill="1" applyBorder="1" applyAlignment="1">
      <alignment horizontal="center" vertical="center"/>
    </xf>
    <xf numFmtId="0" fontId="45" fillId="23" borderId="13" xfId="130" applyFont="1" applyFill="1" applyBorder="1" applyAlignment="1">
      <alignment horizontal="left" vertical="center"/>
    </xf>
    <xf numFmtId="0" fontId="45" fillId="23" borderId="0" xfId="130" applyFont="1" applyFill="1" applyAlignment="1">
      <alignment horizontal="left" vertical="center"/>
    </xf>
    <xf numFmtId="0" fontId="45" fillId="23" borderId="0" xfId="130" applyFont="1" applyFill="1" applyAlignment="1">
      <alignment horizontal="center" vertical="center"/>
    </xf>
    <xf numFmtId="0" fontId="45" fillId="23" borderId="34" xfId="130" applyFont="1" applyFill="1" applyBorder="1" applyAlignment="1">
      <alignment horizontal="center" vertical="center"/>
    </xf>
    <xf numFmtId="0" fontId="45" fillId="23" borderId="51" xfId="130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vertical="center"/>
    </xf>
    <xf numFmtId="177" fontId="82" fillId="23" borderId="0" xfId="128" applyNumberFormat="1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left" vertical="center"/>
    </xf>
    <xf numFmtId="0" fontId="45" fillId="23" borderId="0" xfId="4" applyFont="1" applyFill="1" applyAlignment="1">
      <alignment horizontal="left" vertical="center"/>
    </xf>
    <xf numFmtId="0" fontId="45" fillId="23" borderId="49" xfId="4" applyFont="1" applyFill="1" applyBorder="1" applyAlignment="1">
      <alignment vertical="center"/>
    </xf>
    <xf numFmtId="177" fontId="82" fillId="23" borderId="27" xfId="128" applyNumberFormat="1" applyFont="1" applyFill="1" applyBorder="1" applyAlignment="1">
      <alignment horizontal="center" vertical="center"/>
    </xf>
    <xf numFmtId="0" fontId="47" fillId="23" borderId="27" xfId="4" applyFont="1" applyFill="1" applyBorder="1" applyAlignment="1">
      <alignment horizontal="center" vertical="center"/>
    </xf>
    <xf numFmtId="0" fontId="40" fillId="23" borderId="23" xfId="4" applyFont="1" applyFill="1" applyBorder="1" applyAlignment="1">
      <alignment vertical="center"/>
    </xf>
    <xf numFmtId="0" fontId="40" fillId="23" borderId="24" xfId="4" applyFont="1" applyFill="1" applyBorder="1" applyAlignment="1">
      <alignment vertical="center"/>
    </xf>
    <xf numFmtId="177" fontId="43" fillId="23" borderId="24" xfId="128" applyNumberFormat="1" applyFont="1" applyFill="1" applyBorder="1" applyAlignment="1">
      <alignment horizontal="center" vertical="center"/>
    </xf>
    <xf numFmtId="0" fontId="52" fillId="23" borderId="24" xfId="4" applyFont="1" applyFill="1" applyBorder="1" applyAlignment="1">
      <alignment horizontal="center" vertical="center"/>
    </xf>
    <xf numFmtId="0" fontId="52" fillId="23" borderId="0" xfId="4" applyFont="1" applyFill="1" applyAlignment="1">
      <alignment horizontal="center" vertical="center"/>
    </xf>
    <xf numFmtId="0" fontId="40" fillId="23" borderId="0" xfId="4" applyFont="1" applyFill="1" applyAlignment="1">
      <alignment horizontal="center" vertical="center"/>
    </xf>
    <xf numFmtId="0" fontId="40" fillId="23" borderId="51" xfId="4" applyFont="1" applyFill="1" applyBorder="1" applyAlignment="1">
      <alignment horizontal="center" vertical="center"/>
    </xf>
    <xf numFmtId="0" fontId="47" fillId="23" borderId="0" xfId="4" applyFont="1" applyFill="1" applyAlignment="1">
      <alignment vertical="center"/>
    </xf>
    <xf numFmtId="0" fontId="48" fillId="23" borderId="0" xfId="4" applyFont="1" applyFill="1" applyAlignment="1">
      <alignment horizontal="center" vertical="center"/>
    </xf>
    <xf numFmtId="0" fontId="86" fillId="23" borderId="0" xfId="4" applyFont="1" applyFill="1" applyAlignment="1">
      <alignment horizontal="center" vertical="center"/>
    </xf>
    <xf numFmtId="0" fontId="87" fillId="23" borderId="0" xfId="4" applyFont="1" applyFill="1" applyAlignment="1">
      <alignment horizontal="center" vertical="center"/>
    </xf>
    <xf numFmtId="0" fontId="48" fillId="24" borderId="33" xfId="5" applyFont="1" applyFill="1" applyBorder="1" applyAlignment="1">
      <alignment horizontal="center" vertical="center"/>
    </xf>
    <xf numFmtId="0" fontId="48" fillId="23" borderId="23" xfId="5" applyFont="1" applyFill="1" applyBorder="1" applyAlignment="1">
      <alignment horizontal="center" vertical="center"/>
    </xf>
    <xf numFmtId="0" fontId="48" fillId="23" borderId="30" xfId="5" applyFont="1" applyFill="1" applyBorder="1" applyAlignment="1">
      <alignment vertical="center" wrapText="1"/>
    </xf>
    <xf numFmtId="164" fontId="46" fillId="0" borderId="33" xfId="129" applyFont="1" applyFill="1" applyBorder="1" applyAlignment="1" applyProtection="1">
      <alignment horizontal="center" vertical="center" wrapText="1"/>
    </xf>
    <xf numFmtId="164" fontId="46" fillId="24" borderId="33" xfId="129" applyFont="1" applyFill="1" applyBorder="1" applyAlignment="1" applyProtection="1">
      <alignment horizontal="center" vertical="center" wrapText="1"/>
    </xf>
    <xf numFmtId="0" fontId="86" fillId="23" borderId="0" xfId="5" applyFont="1" applyFill="1" applyAlignment="1">
      <alignment vertical="center" wrapText="1"/>
    </xf>
    <xf numFmtId="0" fontId="44" fillId="24" borderId="0" xfId="130" applyFont="1" applyFill="1" applyAlignment="1">
      <alignment vertical="center"/>
    </xf>
    <xf numFmtId="0" fontId="48" fillId="23" borderId="0" xfId="5" applyFont="1" applyFill="1" applyAlignment="1">
      <alignment vertical="center" wrapText="1"/>
    </xf>
    <xf numFmtId="0" fontId="45" fillId="38" borderId="100" xfId="5" applyFont="1" applyFill="1" applyBorder="1" applyAlignment="1">
      <alignment horizontal="center" vertical="center" wrapText="1"/>
    </xf>
    <xf numFmtId="0" fontId="48" fillId="38" borderId="52" xfId="76" applyFont="1" applyFill="1" applyBorder="1" applyAlignment="1">
      <alignment horizontal="center" vertical="center" wrapText="1"/>
    </xf>
    <xf numFmtId="0" fontId="48" fillId="38" borderId="52" xfId="76" applyFont="1" applyFill="1" applyBorder="1" applyAlignment="1">
      <alignment horizontal="left" vertical="center" wrapText="1"/>
    </xf>
    <xf numFmtId="164" fontId="88" fillId="38" borderId="53" xfId="128" applyFont="1" applyFill="1" applyBorder="1" applyAlignment="1" applyProtection="1">
      <alignment horizontal="center" vertical="center" wrapText="1"/>
    </xf>
    <xf numFmtId="0" fontId="86" fillId="0" borderId="0" xfId="4" applyFont="1" applyAlignment="1">
      <alignment vertical="center" wrapText="1"/>
    </xf>
    <xf numFmtId="49" fontId="86" fillId="0" borderId="0" xfId="4" applyNumberFormat="1" applyFont="1" applyAlignment="1">
      <alignment vertical="center" wrapText="1"/>
    </xf>
    <xf numFmtId="0" fontId="48" fillId="0" borderId="0" xfId="4" applyFont="1" applyAlignment="1">
      <alignment vertical="center" wrapText="1"/>
    </xf>
    <xf numFmtId="164" fontId="48" fillId="0" borderId="0" xfId="4" applyNumberFormat="1" applyFont="1" applyAlignment="1">
      <alignment vertical="center" wrapText="1"/>
    </xf>
    <xf numFmtId="0" fontId="45" fillId="4" borderId="54" xfId="5" applyFont="1" applyFill="1" applyBorder="1" applyAlignment="1">
      <alignment horizontal="center" vertical="center" wrapText="1"/>
    </xf>
    <xf numFmtId="0" fontId="48" fillId="4" borderId="37" xfId="76" applyFont="1" applyFill="1" applyBorder="1" applyAlignment="1">
      <alignment horizontal="center" vertical="center" wrapText="1"/>
    </xf>
    <xf numFmtId="0" fontId="48" fillId="4" borderId="37" xfId="76" applyFont="1" applyFill="1" applyBorder="1" applyAlignment="1">
      <alignment horizontal="left" vertical="center" wrapText="1"/>
    </xf>
    <xf numFmtId="164" fontId="89" fillId="4" borderId="35" xfId="128" applyFont="1" applyFill="1" applyBorder="1" applyAlignment="1">
      <alignment horizontal="center" vertical="center" wrapText="1"/>
    </xf>
    <xf numFmtId="0" fontId="86" fillId="24" borderId="0" xfId="4" applyFont="1" applyFill="1" applyAlignment="1">
      <alignment vertical="center" wrapText="1"/>
    </xf>
    <xf numFmtId="0" fontId="53" fillId="31" borderId="54" xfId="5" applyFont="1" applyFill="1" applyBorder="1" applyAlignment="1">
      <alignment horizontal="center" vertical="center" wrapText="1"/>
    </xf>
    <xf numFmtId="0" fontId="54" fillId="31" borderId="37" xfId="76" applyFont="1" applyFill="1" applyBorder="1" applyAlignment="1">
      <alignment horizontal="center" vertical="center" wrapText="1"/>
    </xf>
    <xf numFmtId="0" fontId="54" fillId="31" borderId="37" xfId="76" applyFont="1" applyFill="1" applyBorder="1" applyAlignment="1">
      <alignment horizontal="left" vertical="center" wrapText="1"/>
    </xf>
    <xf numFmtId="164" fontId="89" fillId="31" borderId="35" xfId="128" applyFont="1" applyFill="1" applyBorder="1" applyAlignment="1">
      <alignment horizontal="center" vertical="center" wrapText="1"/>
    </xf>
    <xf numFmtId="0" fontId="54" fillId="0" borderId="0" xfId="4" applyFont="1" applyAlignment="1">
      <alignment vertical="center" wrapText="1"/>
    </xf>
    <xf numFmtId="0" fontId="45" fillId="0" borderId="54" xfId="5" applyFont="1" applyBorder="1" applyAlignment="1">
      <alignment horizontal="center" vertical="center" wrapText="1"/>
    </xf>
    <xf numFmtId="0" fontId="45" fillId="0" borderId="37" xfId="76" applyFont="1" applyBorder="1" applyAlignment="1">
      <alignment horizontal="center" vertical="center" wrapText="1"/>
    </xf>
    <xf numFmtId="0" fontId="45" fillId="0" borderId="37" xfId="76" applyFont="1" applyBorder="1" applyAlignment="1">
      <alignment horizontal="left" vertical="center" wrapText="1"/>
    </xf>
    <xf numFmtId="164" fontId="89" fillId="0" borderId="35" xfId="128" applyFont="1" applyBorder="1" applyAlignment="1">
      <alignment horizontal="center" vertical="center" wrapText="1"/>
    </xf>
    <xf numFmtId="49" fontId="47" fillId="0" borderId="0" xfId="4" applyNumberFormat="1" applyFont="1" applyAlignment="1">
      <alignment vertical="center" wrapText="1"/>
    </xf>
    <xf numFmtId="0" fontId="45" fillId="0" borderId="0" xfId="4" applyFont="1" applyAlignment="1">
      <alignment vertical="center" wrapText="1"/>
    </xf>
    <xf numFmtId="0" fontId="45" fillId="31" borderId="54" xfId="5" applyFont="1" applyFill="1" applyBorder="1" applyAlignment="1">
      <alignment horizontal="center" vertical="center" wrapText="1"/>
    </xf>
    <xf numFmtId="0" fontId="54" fillId="0" borderId="37" xfId="76" applyFont="1" applyBorder="1" applyAlignment="1">
      <alignment horizontal="center" vertical="center" wrapText="1"/>
    </xf>
    <xf numFmtId="0" fontId="54" fillId="0" borderId="37" xfId="76" applyFont="1" applyBorder="1" applyAlignment="1">
      <alignment horizontal="left" vertical="center" wrapText="1"/>
    </xf>
    <xf numFmtId="0" fontId="45" fillId="0" borderId="100" xfId="5" applyFont="1" applyBorder="1" applyAlignment="1">
      <alignment horizontal="center" vertical="center" wrapText="1"/>
    </xf>
    <xf numFmtId="0" fontId="45" fillId="0" borderId="56" xfId="5" applyFont="1" applyBorder="1" applyAlignment="1">
      <alignment horizontal="center" vertical="center" wrapText="1"/>
    </xf>
    <xf numFmtId="0" fontId="45" fillId="0" borderId="18" xfId="76" applyFont="1" applyBorder="1" applyAlignment="1">
      <alignment horizontal="center" vertical="center" wrapText="1"/>
    </xf>
    <xf numFmtId="0" fontId="45" fillId="0" borderId="18" xfId="76" applyFont="1" applyBorder="1" applyAlignment="1">
      <alignment horizontal="left" vertical="center" wrapText="1"/>
    </xf>
    <xf numFmtId="0" fontId="45" fillId="4" borderId="100" xfId="5" applyFont="1" applyFill="1" applyBorder="1" applyAlignment="1">
      <alignment horizontal="center" vertical="center" wrapText="1"/>
    </xf>
    <xf numFmtId="0" fontId="48" fillId="4" borderId="52" xfId="76" applyFont="1" applyFill="1" applyBorder="1" applyAlignment="1">
      <alignment horizontal="center" vertical="center" wrapText="1"/>
    </xf>
    <xf numFmtId="0" fontId="48" fillId="4" borderId="52" xfId="76" applyFont="1" applyFill="1" applyBorder="1" applyAlignment="1">
      <alignment horizontal="left" vertical="center" wrapText="1"/>
    </xf>
    <xf numFmtId="164" fontId="89" fillId="4" borderId="53" xfId="128" applyFont="1" applyFill="1" applyBorder="1" applyAlignment="1">
      <alignment horizontal="center" vertical="center" wrapText="1"/>
    </xf>
    <xf numFmtId="164" fontId="89" fillId="38" borderId="53" xfId="128" applyFont="1" applyFill="1" applyBorder="1" applyAlignment="1">
      <alignment horizontal="center" vertical="center" wrapText="1"/>
    </xf>
    <xf numFmtId="0" fontId="45" fillId="24" borderId="54" xfId="5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horizontal="left" vertical="center" wrapText="1"/>
    </xf>
    <xf numFmtId="49" fontId="47" fillId="24" borderId="0" xfId="4" applyNumberFormat="1" applyFont="1" applyFill="1" applyAlignment="1">
      <alignment vertical="center" wrapText="1"/>
    </xf>
    <xf numFmtId="0" fontId="47" fillId="24" borderId="0" xfId="4" applyFont="1" applyFill="1" applyAlignment="1">
      <alignment vertical="center" wrapText="1"/>
    </xf>
    <xf numFmtId="49" fontId="45" fillId="24" borderId="0" xfId="4" applyNumberFormat="1" applyFont="1" applyFill="1" applyAlignment="1">
      <alignment vertical="center" wrapText="1"/>
    </xf>
    <xf numFmtId="0" fontId="55" fillId="24" borderId="54" xfId="5" applyFont="1" applyFill="1" applyBorder="1" applyAlignment="1">
      <alignment horizontal="center" vertical="center" wrapText="1"/>
    </xf>
    <xf numFmtId="0" fontId="45" fillId="39" borderId="54" xfId="5" applyFont="1" applyFill="1" applyBorder="1" applyAlignment="1">
      <alignment horizontal="center" vertical="center" wrapText="1"/>
    </xf>
    <xf numFmtId="0" fontId="45" fillId="39" borderId="37" xfId="76" applyFont="1" applyFill="1" applyBorder="1" applyAlignment="1">
      <alignment horizontal="center" vertical="center" wrapText="1"/>
    </xf>
    <xf numFmtId="0" fontId="45" fillId="39" borderId="37" xfId="76" applyFont="1" applyFill="1" applyBorder="1" applyAlignment="1">
      <alignment horizontal="left" vertical="center" wrapText="1"/>
    </xf>
    <xf numFmtId="164" fontId="89" fillId="39" borderId="35" xfId="128" applyFont="1" applyFill="1" applyBorder="1" applyAlignment="1">
      <alignment horizontal="center" vertical="center" wrapText="1"/>
    </xf>
    <xf numFmtId="0" fontId="45" fillId="24" borderId="37" xfId="76" applyFont="1" applyFill="1" applyBorder="1" applyAlignment="1">
      <alignment vertical="center" wrapText="1"/>
    </xf>
    <xf numFmtId="0" fontId="45" fillId="24" borderId="54" xfId="5" applyFont="1" applyFill="1" applyBorder="1" applyAlignment="1">
      <alignment horizontal="center" vertical="center"/>
    </xf>
    <xf numFmtId="0" fontId="55" fillId="39" borderId="54" xfId="5" applyFont="1" applyFill="1" applyBorder="1" applyAlignment="1">
      <alignment horizontal="center" vertical="center"/>
    </xf>
    <xf numFmtId="0" fontId="45" fillId="39" borderId="37" xfId="76" applyFont="1" applyFill="1" applyBorder="1" applyAlignment="1">
      <alignment vertical="center" wrapText="1"/>
    </xf>
    <xf numFmtId="0" fontId="47" fillId="0" borderId="0" xfId="4" applyFont="1" applyAlignment="1">
      <alignment vertical="center" wrapText="1"/>
    </xf>
    <xf numFmtId="49" fontId="45" fillId="0" borderId="0" xfId="4" applyNumberFormat="1" applyFont="1" applyAlignment="1">
      <alignment vertical="center" wrapText="1"/>
    </xf>
    <xf numFmtId="0" fontId="45" fillId="0" borderId="54" xfId="5" applyFont="1" applyBorder="1" applyAlignment="1">
      <alignment horizontal="center" vertical="center"/>
    </xf>
    <xf numFmtId="0" fontId="45" fillId="0" borderId="37" xfId="76" applyFont="1" applyBorder="1" applyAlignment="1">
      <alignment vertical="center" wrapText="1"/>
    </xf>
    <xf numFmtId="0" fontId="45" fillId="0" borderId="101" xfId="5" applyFont="1" applyBorder="1" applyAlignment="1">
      <alignment horizontal="center" vertical="center"/>
    </xf>
    <xf numFmtId="0" fontId="90" fillId="31" borderId="54" xfId="5" applyFont="1" applyFill="1" applyBorder="1" applyAlignment="1">
      <alignment horizontal="center" vertical="center" wrapText="1"/>
    </xf>
    <xf numFmtId="0" fontId="45" fillId="0" borderId="35" xfId="76" applyFont="1" applyBorder="1" applyAlignment="1">
      <alignment horizontal="center" vertical="center" wrapText="1"/>
    </xf>
    <xf numFmtId="0" fontId="45" fillId="0" borderId="2" xfId="131" applyFont="1" applyBorder="1" applyAlignment="1">
      <alignment horizontal="left" vertical="center"/>
    </xf>
    <xf numFmtId="0" fontId="45" fillId="0" borderId="35" xfId="131" applyFont="1" applyBorder="1" applyAlignment="1">
      <alignment horizontal="center" vertical="center"/>
    </xf>
    <xf numFmtId="0" fontId="45" fillId="0" borderId="35" xfId="76" applyFont="1" applyBorder="1" applyAlignment="1">
      <alignment horizontal="left" vertical="center" wrapText="1"/>
    </xf>
    <xf numFmtId="0" fontId="45" fillId="39" borderId="35" xfId="76" applyFont="1" applyFill="1" applyBorder="1" applyAlignment="1">
      <alignment horizontal="center" vertical="center" wrapText="1"/>
    </xf>
    <xf numFmtId="0" fontId="45" fillId="39" borderId="35" xfId="76" applyFont="1" applyFill="1" applyBorder="1" applyAlignment="1">
      <alignment horizontal="left" vertical="center" wrapText="1"/>
    </xf>
    <xf numFmtId="0" fontId="48" fillId="4" borderId="96" xfId="76" applyFont="1" applyFill="1" applyBorder="1" applyAlignment="1">
      <alignment horizontal="center" vertical="center" wrapText="1"/>
    </xf>
    <xf numFmtId="0" fontId="48" fillId="4" borderId="96" xfId="76" applyFont="1" applyFill="1" applyBorder="1" applyAlignment="1">
      <alignment horizontal="left" vertical="center" wrapText="1"/>
    </xf>
    <xf numFmtId="164" fontId="89" fillId="4" borderId="102" xfId="128" applyFont="1" applyFill="1" applyBorder="1" applyAlignment="1">
      <alignment horizontal="center" vertical="center" wrapText="1"/>
    </xf>
    <xf numFmtId="0" fontId="54" fillId="0" borderId="18" xfId="76" applyFont="1" applyBorder="1" applyAlignment="1">
      <alignment horizontal="center" vertical="center" wrapText="1"/>
    </xf>
    <xf numFmtId="0" fontId="54" fillId="0" borderId="18" xfId="76" applyFont="1" applyBorder="1" applyAlignment="1">
      <alignment horizontal="left" vertical="center" wrapText="1"/>
    </xf>
    <xf numFmtId="0" fontId="48" fillId="0" borderId="54" xfId="5" applyFont="1" applyBorder="1" applyAlignment="1">
      <alignment horizontal="center" vertical="center" wrapText="1"/>
    </xf>
    <xf numFmtId="0" fontId="48" fillId="0" borderId="56" xfId="5" applyFont="1" applyBorder="1" applyAlignment="1">
      <alignment horizontal="center" vertical="center" wrapText="1"/>
    </xf>
    <xf numFmtId="0" fontId="45" fillId="40" borderId="51" xfId="5" applyFont="1" applyFill="1" applyBorder="1" applyAlignment="1">
      <alignment horizontal="center" vertical="center" wrapText="1"/>
    </xf>
    <xf numFmtId="0" fontId="48" fillId="40" borderId="30" xfId="76" applyFont="1" applyFill="1" applyBorder="1" applyAlignment="1">
      <alignment horizontal="center" vertical="center" wrapText="1"/>
    </xf>
    <xf numFmtId="0" fontId="48" fillId="40" borderId="30" xfId="76" applyFont="1" applyFill="1" applyBorder="1" applyAlignment="1">
      <alignment horizontal="left" vertical="center" wrapText="1"/>
    </xf>
    <xf numFmtId="164" fontId="89" fillId="40" borderId="33" xfId="128" applyFont="1" applyFill="1" applyBorder="1" applyAlignment="1">
      <alignment horizontal="center" vertical="center" wrapText="1"/>
    </xf>
    <xf numFmtId="0" fontId="45" fillId="38" borderId="60" xfId="5" applyFont="1" applyFill="1" applyBorder="1" applyAlignment="1">
      <alignment horizontal="center" vertical="center" wrapText="1"/>
    </xf>
    <xf numFmtId="0" fontId="48" fillId="38" borderId="96" xfId="76" applyFont="1" applyFill="1" applyBorder="1" applyAlignment="1">
      <alignment horizontal="left" vertical="center" wrapText="1"/>
    </xf>
    <xf numFmtId="164" fontId="89" fillId="38" borderId="102" xfId="128" applyFont="1" applyFill="1" applyBorder="1" applyAlignment="1">
      <alignment horizontal="center" vertical="center" wrapText="1"/>
    </xf>
    <xf numFmtId="0" fontId="48" fillId="24" borderId="37" xfId="76" applyFont="1" applyFill="1" applyBorder="1" applyAlignment="1">
      <alignment horizontal="center" vertical="center" wrapText="1"/>
    </xf>
    <xf numFmtId="0" fontId="48" fillId="24" borderId="37" xfId="76" applyFont="1" applyFill="1" applyBorder="1" applyAlignment="1">
      <alignment horizontal="left" vertical="center" wrapText="1"/>
    </xf>
    <xf numFmtId="0" fontId="45" fillId="0" borderId="101" xfId="5" applyFont="1" applyBorder="1" applyAlignment="1">
      <alignment horizontal="center" vertical="center" wrapText="1"/>
    </xf>
    <xf numFmtId="0" fontId="48" fillId="24" borderId="18" xfId="76" applyFont="1" applyFill="1" applyBorder="1" applyAlignment="1">
      <alignment horizontal="center" vertical="center" wrapText="1"/>
    </xf>
    <xf numFmtId="0" fontId="48" fillId="24" borderId="18" xfId="76" applyFont="1" applyFill="1" applyBorder="1" applyAlignment="1">
      <alignment horizontal="left" vertical="center" wrapText="1"/>
    </xf>
    <xf numFmtId="0" fontId="48" fillId="0" borderId="37" xfId="76" applyFont="1" applyBorder="1" applyAlignment="1">
      <alignment horizontal="center" vertical="center" wrapText="1"/>
    </xf>
    <xf numFmtId="0" fontId="48" fillId="0" borderId="37" xfId="76" applyFont="1" applyBorder="1" applyAlignment="1">
      <alignment horizontal="left" vertical="center" wrapText="1"/>
    </xf>
    <xf numFmtId="0" fontId="48" fillId="0" borderId="18" xfId="76" applyFont="1" applyBorder="1" applyAlignment="1">
      <alignment horizontal="center" vertical="center" wrapText="1"/>
    </xf>
    <xf numFmtId="0" fontId="48" fillId="0" borderId="18" xfId="76" applyFont="1" applyBorder="1" applyAlignment="1">
      <alignment horizontal="left" vertical="center" wrapText="1"/>
    </xf>
    <xf numFmtId="0" fontId="54" fillId="24" borderId="37" xfId="76" applyFont="1" applyFill="1" applyBorder="1" applyAlignment="1">
      <alignment horizontal="center" vertical="center" wrapText="1"/>
    </xf>
    <xf numFmtId="0" fontId="54" fillId="24" borderId="37" xfId="76" applyFont="1" applyFill="1" applyBorder="1" applyAlignment="1">
      <alignment horizontal="left" vertical="center" wrapText="1"/>
    </xf>
    <xf numFmtId="0" fontId="54" fillId="0" borderId="6" xfId="76" applyFont="1" applyBorder="1" applyAlignment="1">
      <alignment horizontal="center" vertical="center" wrapText="1"/>
    </xf>
    <xf numFmtId="0" fontId="54" fillId="0" borderId="37" xfId="76" applyFont="1" applyBorder="1" applyAlignment="1">
      <alignment vertical="center" wrapText="1"/>
    </xf>
    <xf numFmtId="0" fontId="54" fillId="0" borderId="8" xfId="76" applyFont="1" applyBorder="1" applyAlignment="1">
      <alignment horizontal="center" vertical="center" wrapText="1"/>
    </xf>
    <xf numFmtId="0" fontId="54" fillId="0" borderId="8" xfId="76" applyFont="1" applyBorder="1" applyAlignment="1">
      <alignment horizontal="left" vertical="center" wrapText="1"/>
    </xf>
    <xf numFmtId="0" fontId="45" fillId="0" borderId="35" xfId="5" applyFont="1" applyBorder="1" applyAlignment="1">
      <alignment horizontal="center" vertical="center" wrapText="1"/>
    </xf>
    <xf numFmtId="0" fontId="54" fillId="0" borderId="35" xfId="76" applyFont="1" applyBorder="1" applyAlignment="1">
      <alignment horizontal="center" vertical="center" wrapText="1"/>
    </xf>
    <xf numFmtId="0" fontId="54" fillId="0" borderId="35" xfId="76" applyFont="1" applyBorder="1" applyAlignment="1">
      <alignment horizontal="left" vertical="center" wrapText="1"/>
    </xf>
    <xf numFmtId="0" fontId="48" fillId="38" borderId="96" xfId="76" applyFont="1" applyFill="1" applyBorder="1" applyAlignment="1">
      <alignment horizontal="center" vertical="center" wrapText="1"/>
    </xf>
    <xf numFmtId="0" fontId="45" fillId="38" borderId="54" xfId="5" applyFont="1" applyFill="1" applyBorder="1" applyAlignment="1">
      <alignment horizontal="center" vertical="center" wrapText="1"/>
    </xf>
    <xf numFmtId="0" fontId="48" fillId="38" borderId="37" xfId="76" applyFont="1" applyFill="1" applyBorder="1" applyAlignment="1">
      <alignment horizontal="center" vertical="center" wrapText="1"/>
    </xf>
    <xf numFmtId="0" fontId="48" fillId="24" borderId="54" xfId="5" applyFont="1" applyFill="1" applyBorder="1" applyAlignment="1">
      <alignment horizontal="center" vertical="center" wrapText="1"/>
    </xf>
    <xf numFmtId="0" fontId="54" fillId="24" borderId="6" xfId="76" applyFont="1" applyFill="1" applyBorder="1" applyAlignment="1">
      <alignment horizontal="center" vertical="center" wrapText="1"/>
    </xf>
    <xf numFmtId="0" fontId="54" fillId="24" borderId="37" xfId="76" applyFont="1" applyFill="1" applyBorder="1" applyAlignment="1">
      <alignment vertical="center" wrapText="1"/>
    </xf>
    <xf numFmtId="0" fontId="48" fillId="0" borderId="101" xfId="5" applyFont="1" applyBorder="1" applyAlignment="1">
      <alignment horizontal="center" vertical="center"/>
    </xf>
    <xf numFmtId="0" fontId="48" fillId="24" borderId="6" xfId="76" applyFont="1" applyFill="1" applyBorder="1" applyAlignment="1">
      <alignment horizontal="center" vertical="center" wrapText="1"/>
    </xf>
    <xf numFmtId="0" fontId="48" fillId="0" borderId="37" xfId="76" applyFont="1" applyBorder="1" applyAlignment="1">
      <alignment vertical="center" wrapText="1"/>
    </xf>
    <xf numFmtId="0" fontId="48" fillId="24" borderId="54" xfId="5" applyFont="1" applyFill="1" applyBorder="1" applyAlignment="1">
      <alignment horizontal="center" vertical="center"/>
    </xf>
    <xf numFmtId="0" fontId="45" fillId="24" borderId="6" xfId="76" applyFont="1" applyFill="1" applyBorder="1" applyAlignment="1">
      <alignment horizontal="center" vertical="center" wrapText="1"/>
    </xf>
    <xf numFmtId="0" fontId="54" fillId="0" borderId="35" xfId="131" applyFont="1" applyBorder="1" applyAlignment="1">
      <alignment vertical="center"/>
    </xf>
    <xf numFmtId="0" fontId="54" fillId="0" borderId="35" xfId="131" applyFont="1" applyBorder="1" applyAlignment="1">
      <alignment horizontal="center" vertical="center" wrapText="1"/>
    </xf>
    <xf numFmtId="0" fontId="54" fillId="0" borderId="35" xfId="131" applyFont="1" applyBorder="1" applyAlignment="1">
      <alignment vertical="center" wrapText="1"/>
    </xf>
    <xf numFmtId="0" fontId="48" fillId="0" borderId="101" xfId="5" applyFont="1" applyBorder="1" applyAlignment="1">
      <alignment horizontal="center" vertical="center" wrapText="1"/>
    </xf>
    <xf numFmtId="0" fontId="48" fillId="40" borderId="49" xfId="76" applyFont="1" applyFill="1" applyBorder="1" applyAlignment="1">
      <alignment horizontal="center" vertical="center" wrapText="1"/>
    </xf>
    <xf numFmtId="0" fontId="48" fillId="40" borderId="49" xfId="76" applyFont="1" applyFill="1" applyBorder="1" applyAlignment="1">
      <alignment horizontal="left" vertical="center" wrapText="1"/>
    </xf>
    <xf numFmtId="164" fontId="89" fillId="40" borderId="103" xfId="128" applyFont="1" applyFill="1" applyBorder="1" applyAlignment="1">
      <alignment horizontal="center" vertical="center" wrapText="1"/>
    </xf>
    <xf numFmtId="164" fontId="89" fillId="0" borderId="36" xfId="128" applyFont="1" applyBorder="1" applyAlignment="1">
      <alignment horizontal="center" vertical="center" wrapText="1"/>
    </xf>
    <xf numFmtId="49" fontId="47" fillId="23" borderId="0" xfId="4" applyNumberFormat="1" applyFont="1" applyFill="1" applyAlignment="1">
      <alignment vertical="center"/>
    </xf>
    <xf numFmtId="0" fontId="61" fillId="0" borderId="0" xfId="79" applyFont="1"/>
    <xf numFmtId="0" fontId="7" fillId="0" borderId="0" xfId="79"/>
    <xf numFmtId="0" fontId="92" fillId="5" borderId="106" xfId="132" applyFont="1" applyFill="1" applyBorder="1" applyAlignment="1">
      <alignment horizontal="right" vertical="center"/>
    </xf>
    <xf numFmtId="0" fontId="94" fillId="41" borderId="106" xfId="132" applyFont="1" applyFill="1" applyBorder="1" applyAlignment="1">
      <alignment vertical="center"/>
    </xf>
    <xf numFmtId="0" fontId="94" fillId="41" borderId="106" xfId="132" applyFont="1" applyFill="1" applyBorder="1" applyAlignment="1">
      <alignment horizontal="center" vertical="center"/>
    </xf>
    <xf numFmtId="0" fontId="94" fillId="0" borderId="106" xfId="132" applyFont="1" applyBorder="1" applyAlignment="1">
      <alignment vertical="center"/>
    </xf>
    <xf numFmtId="0" fontId="67" fillId="7" borderId="106" xfId="132" applyFont="1" applyFill="1" applyBorder="1" applyAlignment="1">
      <alignment horizontal="left" vertical="center"/>
    </xf>
    <xf numFmtId="0" fontId="92" fillId="0" borderId="106" xfId="132" applyFont="1" applyBorder="1" applyAlignment="1">
      <alignment vertical="center"/>
    </xf>
    <xf numFmtId="0" fontId="92" fillId="0" borderId="106" xfId="132" applyFont="1" applyBorder="1" applyAlignment="1">
      <alignment horizontal="left" vertical="center"/>
    </xf>
    <xf numFmtId="37" fontId="94" fillId="41" borderId="106" xfId="133" applyNumberFormat="1" applyFont="1" applyFill="1" applyBorder="1" applyAlignment="1">
      <alignment horizontal="center" vertical="center"/>
    </xf>
    <xf numFmtId="3" fontId="61" fillId="0" borderId="0" xfId="79" applyNumberFormat="1" applyFont="1"/>
    <xf numFmtId="3" fontId="7" fillId="0" borderId="0" xfId="79" applyNumberFormat="1"/>
    <xf numFmtId="0" fontId="98" fillId="0" borderId="106" xfId="132" applyFont="1" applyBorder="1" applyAlignment="1">
      <alignment vertical="center"/>
    </xf>
    <xf numFmtId="164" fontId="7" fillId="0" borderId="0" xfId="79" applyNumberFormat="1"/>
    <xf numFmtId="0" fontId="99" fillId="14" borderId="106" xfId="132" applyFont="1" applyFill="1" applyBorder="1" applyAlignment="1">
      <alignment vertical="center"/>
    </xf>
    <xf numFmtId="0" fontId="100" fillId="0" borderId="106" xfId="132" applyFont="1" applyBorder="1" applyAlignment="1">
      <alignment vertical="center"/>
    </xf>
    <xf numFmtId="0" fontId="98" fillId="0" borderId="106" xfId="132" applyFont="1" applyBorder="1" applyAlignment="1">
      <alignment horizontal="left" vertical="center" wrapText="1"/>
    </xf>
    <xf numFmtId="0" fontId="98" fillId="0" borderId="106" xfId="132" applyFont="1" applyBorder="1" applyAlignment="1">
      <alignment horizontal="left" vertical="center"/>
    </xf>
    <xf numFmtId="0" fontId="7" fillId="0" borderId="0" xfId="79" applyAlignment="1">
      <alignment horizontal="right"/>
    </xf>
    <xf numFmtId="0" fontId="61" fillId="0" borderId="0" xfId="79" quotePrefix="1" applyFont="1"/>
    <xf numFmtId="0" fontId="94" fillId="0" borderId="106" xfId="132" applyFont="1" applyBorder="1" applyAlignment="1">
      <alignment horizontal="left" vertical="center"/>
    </xf>
    <xf numFmtId="0" fontId="94" fillId="0" borderId="106" xfId="132" applyFont="1" applyBorder="1" applyAlignment="1">
      <alignment vertical="center" wrapText="1"/>
    </xf>
    <xf numFmtId="0" fontId="96" fillId="0" borderId="106" xfId="132" applyFont="1" applyBorder="1" applyAlignment="1">
      <alignment horizontal="center" vertical="center"/>
    </xf>
    <xf numFmtId="0" fontId="92" fillId="0" borderId="106" xfId="132" applyFont="1" applyBorder="1" applyAlignment="1">
      <alignment horizontal="center" vertical="center"/>
    </xf>
    <xf numFmtId="0" fontId="94" fillId="0" borderId="107" xfId="132" applyFont="1" applyBorder="1" applyAlignment="1">
      <alignment horizontal="left" vertical="center"/>
    </xf>
    <xf numFmtId="0" fontId="94" fillId="0" borderId="107" xfId="132" applyFont="1" applyBorder="1" applyAlignment="1">
      <alignment horizontal="center" vertical="center"/>
    </xf>
    <xf numFmtId="43" fontId="7" fillId="0" borderId="0" xfId="1" applyFont="1"/>
    <xf numFmtId="164" fontId="42" fillId="24" borderId="34" xfId="129" applyFont="1" applyFill="1" applyBorder="1" applyAlignment="1">
      <alignment horizontal="center" vertical="center"/>
    </xf>
    <xf numFmtId="0" fontId="86" fillId="0" borderId="0" xfId="4" applyFont="1" applyAlignment="1">
      <alignment vertical="center"/>
    </xf>
    <xf numFmtId="1" fontId="11" fillId="35" borderId="30" xfId="4" applyNumberFormat="1" applyFont="1" applyFill="1" applyBorder="1" applyAlignment="1">
      <alignment horizontal="center" vertical="center"/>
    </xf>
    <xf numFmtId="0" fontId="6" fillId="35" borderId="104" xfId="5" applyFont="1" applyFill="1" applyBorder="1" applyAlignment="1">
      <alignment horizontal="center" vertical="center" wrapText="1"/>
    </xf>
    <xf numFmtId="0" fontId="72" fillId="38" borderId="3" xfId="79" applyFont="1" applyFill="1" applyBorder="1" applyAlignment="1">
      <alignment horizontal="left" vertical="center" wrapText="1"/>
    </xf>
    <xf numFmtId="0" fontId="6" fillId="38" borderId="3" xfId="79" applyFont="1" applyFill="1" applyBorder="1" applyAlignment="1">
      <alignment horizontal="left" vertical="center" wrapText="1"/>
    </xf>
    <xf numFmtId="0" fontId="6" fillId="38" borderId="3" xfId="79" applyFont="1" applyFill="1" applyBorder="1" applyAlignment="1">
      <alignment horizontal="center" vertical="center" wrapText="1"/>
    </xf>
    <xf numFmtId="43" fontId="6" fillId="38" borderId="3" xfId="1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center" vertical="center" wrapText="1"/>
    </xf>
    <xf numFmtId="0" fontId="72" fillId="0" borderId="11" xfId="79" applyFont="1" applyBorder="1" applyAlignment="1">
      <alignment horizontal="left" vertical="center" wrapText="1"/>
    </xf>
    <xf numFmtId="0" fontId="72" fillId="0" borderId="11" xfId="5" applyFont="1" applyBorder="1" applyAlignment="1">
      <alignment horizontal="left" vertical="center" wrapText="1"/>
    </xf>
    <xf numFmtId="0" fontId="72" fillId="0" borderId="11" xfId="79" applyFont="1" applyBorder="1" applyAlignment="1">
      <alignment horizontal="center" vertical="center" wrapText="1"/>
    </xf>
    <xf numFmtId="43" fontId="72" fillId="0" borderId="11" xfId="1" applyFont="1" applyBorder="1" applyAlignment="1">
      <alignment horizontal="center" vertical="center" wrapText="1"/>
    </xf>
    <xf numFmtId="0" fontId="72" fillId="40" borderId="3" xfId="79" applyFont="1" applyFill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43" fontId="8" fillId="4" borderId="3" xfId="1" applyFont="1" applyFill="1" applyBorder="1" applyAlignment="1">
      <alignment horizontal="center" vertical="center" wrapText="1"/>
    </xf>
    <xf numFmtId="0" fontId="6" fillId="40" borderId="3" xfId="79" applyFont="1" applyFill="1" applyBorder="1" applyAlignment="1">
      <alignment horizontal="left" vertical="center" wrapText="1"/>
    </xf>
    <xf numFmtId="0" fontId="6" fillId="40" borderId="3" xfId="79" applyFont="1" applyFill="1" applyBorder="1" applyAlignment="1">
      <alignment horizontal="center" vertical="center" wrapText="1"/>
    </xf>
    <xf numFmtId="43" fontId="6" fillId="40" borderId="3" xfId="1" applyFont="1" applyFill="1" applyBorder="1" applyAlignment="1">
      <alignment horizontal="center" vertical="center" wrapText="1"/>
    </xf>
    <xf numFmtId="0" fontId="72" fillId="0" borderId="3" xfId="76" applyFont="1" applyBorder="1" applyAlignment="1">
      <alignment vertical="center" wrapText="1"/>
    </xf>
    <xf numFmtId="4" fontId="7" fillId="0" borderId="0" xfId="79" applyNumberFormat="1"/>
    <xf numFmtId="176" fontId="60" fillId="14" borderId="105" xfId="1" applyNumberFormat="1" applyFont="1" applyFill="1" applyBorder="1" applyAlignment="1">
      <alignment horizontal="center" vertical="center"/>
    </xf>
    <xf numFmtId="176" fontId="95" fillId="41" borderId="106" xfId="1" applyNumberFormat="1" applyFont="1" applyFill="1" applyBorder="1" applyAlignment="1">
      <alignment horizontal="right" vertical="center"/>
    </xf>
    <xf numFmtId="176" fontId="94" fillId="0" borderId="106" xfId="1" applyNumberFormat="1" applyFont="1" applyFill="1" applyBorder="1" applyAlignment="1">
      <alignment horizontal="right" vertical="center"/>
    </xf>
    <xf numFmtId="176" fontId="92" fillId="0" borderId="106" xfId="1" applyNumberFormat="1" applyFont="1" applyFill="1" applyBorder="1" applyAlignment="1">
      <alignment horizontal="right" vertical="center"/>
    </xf>
    <xf numFmtId="176" fontId="94" fillId="41" borderId="106" xfId="1" applyNumberFormat="1" applyFont="1" applyFill="1" applyBorder="1" applyAlignment="1">
      <alignment horizontal="right" vertical="center"/>
    </xf>
    <xf numFmtId="176" fontId="92" fillId="42" borderId="106" xfId="1" applyNumberFormat="1" applyFont="1" applyFill="1" applyBorder="1" applyAlignment="1">
      <alignment horizontal="right" vertical="center"/>
    </xf>
    <xf numFmtId="176" fontId="92" fillId="0" borderId="106" xfId="1" applyNumberFormat="1" applyFont="1" applyBorder="1" applyAlignment="1">
      <alignment horizontal="right" vertical="center"/>
    </xf>
    <xf numFmtId="176" fontId="94" fillId="14" borderId="106" xfId="1" applyNumberFormat="1" applyFont="1" applyFill="1" applyBorder="1" applyAlignment="1">
      <alignment horizontal="right" vertical="center"/>
    </xf>
    <xf numFmtId="176" fontId="94" fillId="0" borderId="106" xfId="1" applyNumberFormat="1" applyFont="1" applyBorder="1" applyAlignment="1">
      <alignment horizontal="right" vertical="center"/>
    </xf>
    <xf numFmtId="176" fontId="94" fillId="42" borderId="106" xfId="1" applyNumberFormat="1" applyFont="1" applyFill="1" applyBorder="1" applyAlignment="1">
      <alignment horizontal="right" vertical="center"/>
    </xf>
    <xf numFmtId="176" fontId="96" fillId="41" borderId="106" xfId="1" applyNumberFormat="1" applyFont="1" applyFill="1" applyBorder="1" applyAlignment="1">
      <alignment horizontal="right" vertical="center"/>
    </xf>
    <xf numFmtId="176" fontId="96" fillId="0" borderId="106" xfId="1" applyNumberFormat="1" applyFont="1" applyFill="1" applyBorder="1" applyAlignment="1">
      <alignment horizontal="right" vertical="center"/>
    </xf>
    <xf numFmtId="176" fontId="94" fillId="0" borderId="107" xfId="1" applyNumberFormat="1" applyFont="1" applyFill="1" applyBorder="1" applyAlignment="1">
      <alignment horizontal="right" vertical="center"/>
    </xf>
    <xf numFmtId="176" fontId="7" fillId="0" borderId="106" xfId="1" applyNumberFormat="1" applyFont="1" applyBorder="1" applyAlignment="1">
      <alignment vertical="center"/>
    </xf>
    <xf numFmtId="176" fontId="100" fillId="0" borderId="106" xfId="1" applyNumberFormat="1" applyFont="1" applyBorder="1" applyAlignment="1">
      <alignment vertical="center"/>
    </xf>
    <xf numFmtId="1" fontId="72" fillId="0" borderId="3" xfId="79" applyNumberFormat="1" applyFont="1" applyBorder="1" applyAlignment="1">
      <alignment horizontal="left" vertical="center" wrapText="1"/>
    </xf>
    <xf numFmtId="1" fontId="8" fillId="38" borderId="3" xfId="79" applyNumberFormat="1" applyFont="1" applyFill="1" applyBorder="1" applyAlignment="1">
      <alignment horizontal="left" vertical="center" wrapText="1"/>
    </xf>
    <xf numFmtId="1" fontId="72" fillId="0" borderId="3" xfId="79" quotePrefix="1" applyNumberFormat="1" applyFont="1" applyBorder="1" applyAlignment="1">
      <alignment horizontal="left" vertical="center" wrapText="1"/>
    </xf>
    <xf numFmtId="1" fontId="72" fillId="4" borderId="3" xfId="79" applyNumberFormat="1" applyFont="1" applyFill="1" applyBorder="1" applyAlignment="1">
      <alignment horizontal="left" vertical="center" wrapText="1"/>
    </xf>
    <xf numFmtId="1" fontId="72" fillId="0" borderId="92" xfId="79" applyNumberFormat="1" applyFont="1" applyBorder="1" applyAlignment="1">
      <alignment horizontal="left" vertical="center" wrapText="1"/>
    </xf>
    <xf numFmtId="1" fontId="72" fillId="4" borderId="3" xfId="79" quotePrefix="1" applyNumberFormat="1" applyFont="1" applyFill="1" applyBorder="1" applyAlignment="1">
      <alignment horizontal="left" vertical="center" wrapText="1"/>
    </xf>
    <xf numFmtId="10" fontId="10" fillId="0" borderId="0" xfId="3" applyNumberFormat="1" applyFont="1" applyFill="1" applyBorder="1" applyAlignment="1" applyProtection="1">
      <alignment horizontal="left" vertical="center"/>
    </xf>
    <xf numFmtId="0" fontId="72" fillId="0" borderId="3" xfId="79" quotePrefix="1" applyFont="1" applyBorder="1" applyAlignment="1">
      <alignment horizontal="left" vertical="center" wrapText="1"/>
    </xf>
    <xf numFmtId="164" fontId="0" fillId="0" borderId="0" xfId="0" applyNumberFormat="1"/>
    <xf numFmtId="43" fontId="0" fillId="0" borderId="0" xfId="0" applyNumberFormat="1"/>
    <xf numFmtId="43" fontId="12" fillId="0" borderId="92" xfId="1" applyFont="1" applyBorder="1" applyAlignment="1">
      <alignment horizontal="left" vertical="center" wrapText="1"/>
    </xf>
    <xf numFmtId="43" fontId="8" fillId="0" borderId="0" xfId="4" applyNumberFormat="1" applyFont="1" applyAlignment="1">
      <alignment vertical="center"/>
    </xf>
    <xf numFmtId="43" fontId="61" fillId="0" borderId="0" xfId="1" applyFont="1"/>
    <xf numFmtId="176" fontId="93" fillId="0" borderId="106" xfId="1" applyNumberFormat="1" applyFont="1" applyFill="1" applyBorder="1" applyAlignment="1">
      <alignment horizontal="right" vertical="center"/>
    </xf>
    <xf numFmtId="176" fontId="62" fillId="0" borderId="106" xfId="1" applyNumberFormat="1" applyFont="1" applyBorder="1" applyAlignment="1">
      <alignment vertical="center"/>
    </xf>
    <xf numFmtId="176" fontId="101" fillId="0" borderId="106" xfId="1" applyNumberFormat="1" applyFont="1" applyBorder="1" applyAlignment="1">
      <alignment vertical="center"/>
    </xf>
    <xf numFmtId="176" fontId="102" fillId="0" borderId="106" xfId="1" applyNumberFormat="1" applyFont="1" applyBorder="1" applyAlignment="1">
      <alignment horizontal="right" vertical="center"/>
    </xf>
    <xf numFmtId="176" fontId="62" fillId="0" borderId="0" xfId="1" applyNumberFormat="1" applyFont="1"/>
    <xf numFmtId="166" fontId="10" fillId="0" borderId="1" xfId="2" quotePrefix="1" applyNumberFormat="1" applyFont="1" applyFill="1" applyBorder="1" applyAlignment="1" applyProtection="1">
      <alignment horizontal="center" vertical="center"/>
    </xf>
    <xf numFmtId="166" fontId="10" fillId="0" borderId="2" xfId="2" quotePrefix="1" applyNumberFormat="1" applyFont="1" applyFill="1" applyBorder="1" applyAlignment="1" applyProtection="1">
      <alignment horizontal="center" vertical="center"/>
    </xf>
    <xf numFmtId="166" fontId="10" fillId="0" borderId="17" xfId="2" quotePrefix="1" applyNumberFormat="1" applyFont="1" applyFill="1" applyBorder="1" applyAlignment="1" applyProtection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166" fontId="74" fillId="0" borderId="4" xfId="2" quotePrefix="1" applyNumberFormat="1" applyFont="1" applyFill="1" applyBorder="1" applyAlignment="1" applyProtection="1">
      <alignment horizontal="center" vertical="center" wrapText="1"/>
    </xf>
    <xf numFmtId="166" fontId="74" fillId="0" borderId="5" xfId="2" quotePrefix="1" applyNumberFormat="1" applyFont="1" applyFill="1" applyBorder="1" applyAlignment="1" applyProtection="1">
      <alignment horizontal="center" vertical="center" wrapText="1"/>
    </xf>
    <xf numFmtId="175" fontId="10" fillId="0" borderId="25" xfId="1" quotePrefix="1" applyNumberFormat="1" applyFont="1" applyFill="1" applyBorder="1" applyAlignment="1" applyProtection="1">
      <alignment horizontal="center" vertical="center" wrapText="1"/>
    </xf>
    <xf numFmtId="175" fontId="10" fillId="0" borderId="90" xfId="1" quotePrefix="1" applyNumberFormat="1" applyFont="1" applyFill="1" applyBorder="1" applyAlignment="1" applyProtection="1">
      <alignment horizontal="center" vertical="center" wrapText="1"/>
    </xf>
    <xf numFmtId="175" fontId="10" fillId="0" borderId="91" xfId="1" quotePrefix="1" applyNumberFormat="1" applyFont="1" applyFill="1" applyBorder="1" applyAlignment="1" applyProtection="1">
      <alignment horizontal="center" vertical="center" wrapText="1"/>
    </xf>
    <xf numFmtId="175" fontId="10" fillId="0" borderId="34" xfId="1" quotePrefix="1" applyNumberFormat="1" applyFont="1" applyFill="1" applyBorder="1" applyAlignment="1" applyProtection="1">
      <alignment horizontal="center" vertical="center" wrapText="1"/>
    </xf>
    <xf numFmtId="0" fontId="43" fillId="3" borderId="23" xfId="4" applyFont="1" applyFill="1" applyBorder="1" applyAlignment="1">
      <alignment horizontal="center" vertical="center"/>
    </xf>
    <xf numFmtId="0" fontId="43" fillId="3" borderId="24" xfId="4" applyFont="1" applyFill="1" applyBorder="1" applyAlignment="1">
      <alignment horizontal="center" vertical="center"/>
    </xf>
    <xf numFmtId="0" fontId="43" fillId="3" borderId="48" xfId="4" applyFont="1" applyFill="1" applyBorder="1" applyAlignment="1">
      <alignment horizontal="center" vertical="center"/>
    </xf>
    <xf numFmtId="0" fontId="43" fillId="3" borderId="49" xfId="4" applyFont="1" applyFill="1" applyBorder="1" applyAlignment="1">
      <alignment horizontal="center" vertical="center"/>
    </xf>
    <xf numFmtId="0" fontId="43" fillId="3" borderId="27" xfId="4" applyFont="1" applyFill="1" applyBorder="1" applyAlignment="1">
      <alignment horizontal="center" vertical="center"/>
    </xf>
    <xf numFmtId="0" fontId="43" fillId="3" borderId="50" xfId="4" applyFont="1" applyFill="1" applyBorder="1" applyAlignment="1">
      <alignment horizontal="center" vertical="center"/>
    </xf>
    <xf numFmtId="164" fontId="42" fillId="23" borderId="27" xfId="115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right" vertical="center"/>
    </xf>
    <xf numFmtId="0" fontId="45" fillId="23" borderId="0" xfId="4" applyFont="1" applyFill="1" applyAlignment="1">
      <alignment horizontal="right" vertical="center"/>
    </xf>
    <xf numFmtId="0" fontId="45" fillId="23" borderId="14" xfId="4" applyFont="1" applyFill="1" applyBorder="1" applyAlignment="1">
      <alignment horizontal="right" vertical="center"/>
    </xf>
    <xf numFmtId="0" fontId="45" fillId="23" borderId="13" xfId="4" applyFont="1" applyFill="1" applyBorder="1" applyAlignment="1">
      <alignment horizontal="center" vertical="center"/>
    </xf>
    <xf numFmtId="0" fontId="45" fillId="23" borderId="0" xfId="4" applyFont="1" applyFill="1" applyAlignment="1">
      <alignment horizontal="center" vertical="center"/>
    </xf>
    <xf numFmtId="0" fontId="45" fillId="23" borderId="14" xfId="4" applyFont="1" applyFill="1" applyBorder="1" applyAlignment="1">
      <alignment horizontal="center" vertical="center"/>
    </xf>
    <xf numFmtId="43" fontId="11" fillId="2" borderId="30" xfId="1" applyFont="1" applyFill="1" applyBorder="1" applyAlignment="1" applyProtection="1">
      <alignment vertical="center"/>
    </xf>
    <xf numFmtId="43" fontId="11" fillId="2" borderId="31" xfId="1" applyFont="1" applyFill="1" applyBorder="1" applyAlignment="1" applyProtection="1">
      <alignment vertical="center"/>
    </xf>
    <xf numFmtId="0" fontId="5" fillId="0" borderId="30" xfId="79" applyFont="1" applyBorder="1" applyAlignment="1">
      <alignment horizontal="center" vertical="center" wrapText="1"/>
    </xf>
    <xf numFmtId="0" fontId="5" fillId="0" borderId="31" xfId="79" applyFont="1" applyBorder="1" applyAlignment="1">
      <alignment horizontal="center" vertical="center" wrapText="1"/>
    </xf>
    <xf numFmtId="3" fontId="11" fillId="0" borderId="21" xfId="79" applyNumberFormat="1" applyFont="1" applyBorder="1" applyAlignment="1">
      <alignment horizontal="center" vertical="center"/>
    </xf>
    <xf numFmtId="3" fontId="11" fillId="0" borderId="57" xfId="79" applyNumberFormat="1" applyFont="1" applyBorder="1" applyAlignment="1">
      <alignment horizontal="center" vertical="center"/>
    </xf>
    <xf numFmtId="174" fontId="78" fillId="0" borderId="23" xfId="117" applyFont="1" applyBorder="1" applyAlignment="1">
      <alignment horizontal="center" vertical="center" wrapText="1"/>
    </xf>
    <xf numFmtId="174" fontId="78" fillId="0" borderId="24" xfId="117" applyFont="1" applyBorder="1" applyAlignment="1">
      <alignment horizontal="center" vertical="center" wrapText="1"/>
    </xf>
    <xf numFmtId="174" fontId="78" fillId="0" borderId="96" xfId="117" applyFont="1" applyBorder="1" applyAlignment="1">
      <alignment horizontal="center" vertical="center" wrapText="1"/>
    </xf>
    <xf numFmtId="174" fontId="78" fillId="0" borderId="97" xfId="117" applyFont="1" applyBorder="1" applyAlignment="1">
      <alignment horizontal="center" vertical="center" wrapText="1"/>
    </xf>
    <xf numFmtId="174" fontId="78" fillId="0" borderId="0" xfId="117" applyFont="1" applyAlignment="1">
      <alignment horizontal="center" vertical="center" wrapText="1"/>
    </xf>
    <xf numFmtId="3" fontId="10" fillId="0" borderId="4" xfId="1" quotePrefix="1" applyNumberFormat="1" applyFont="1" applyFill="1" applyBorder="1" applyAlignment="1" applyProtection="1">
      <alignment horizontal="center" vertical="center" wrapText="1"/>
    </xf>
    <xf numFmtId="3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4" xfId="2" quotePrefix="1" applyNumberFormat="1" applyFont="1" applyFill="1" applyBorder="1" applyAlignment="1" applyProtection="1">
      <alignment horizontal="center" vertical="center" wrapText="1"/>
    </xf>
    <xf numFmtId="3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5" fillId="0" borderId="0" xfId="1" quotePrefix="1" applyFont="1" applyFill="1" applyBorder="1" applyAlignment="1" applyProtection="1">
      <alignment horizontal="left" vertical="center" wrapText="1"/>
    </xf>
    <xf numFmtId="43" fontId="15" fillId="0" borderId="14" xfId="1" quotePrefix="1" applyFont="1" applyFill="1" applyBorder="1" applyAlignment="1" applyProtection="1">
      <alignment horizontal="left" vertical="center" wrapText="1"/>
    </xf>
    <xf numFmtId="43" fontId="11" fillId="2" borderId="6" xfId="1" applyFont="1" applyFill="1" applyBorder="1" applyAlignment="1" applyProtection="1">
      <alignment horizontal="left" vertical="center"/>
    </xf>
    <xf numFmtId="43" fontId="11" fillId="2" borderId="3" xfId="1" applyFont="1" applyFill="1" applyBorder="1" applyAlignment="1" applyProtection="1">
      <alignment horizontal="left" vertical="center"/>
    </xf>
    <xf numFmtId="43" fontId="11" fillId="2" borderId="34" xfId="1" applyFont="1" applyFill="1" applyBorder="1" applyAlignment="1" applyProtection="1">
      <alignment horizontal="left" vertical="center"/>
    </xf>
    <xf numFmtId="43" fontId="11" fillId="2" borderId="6" xfId="1" applyFont="1" applyFill="1" applyBorder="1" applyAlignment="1" applyProtection="1">
      <alignment vertical="center"/>
    </xf>
    <xf numFmtId="43" fontId="11" fillId="2" borderId="3" xfId="1" applyFont="1" applyFill="1" applyBorder="1" applyAlignment="1" applyProtection="1">
      <alignment vertical="center"/>
    </xf>
    <xf numFmtId="43" fontId="11" fillId="2" borderId="11" xfId="1" applyFont="1" applyFill="1" applyBorder="1" applyAlignment="1" applyProtection="1">
      <alignment vertical="center"/>
    </xf>
    <xf numFmtId="43" fontId="11" fillId="2" borderId="34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horizontal="left" vertical="center" wrapText="1"/>
    </xf>
    <xf numFmtId="43" fontId="13" fillId="0" borderId="14" xfId="1" applyFont="1" applyFill="1" applyBorder="1" applyAlignment="1" applyProtection="1">
      <alignment horizontal="left" vertical="center" wrapText="1"/>
    </xf>
    <xf numFmtId="43" fontId="11" fillId="2" borderId="18" xfId="1" applyFont="1" applyFill="1" applyBorder="1" applyAlignment="1" applyProtection="1">
      <alignment horizontal="left" vertical="center"/>
    </xf>
    <xf numFmtId="43" fontId="11" fillId="2" borderId="19" xfId="1" applyFont="1" applyFill="1" applyBorder="1" applyAlignment="1" applyProtection="1">
      <alignment horizontal="left" vertical="center"/>
    </xf>
    <xf numFmtId="43" fontId="11" fillId="2" borderId="27" xfId="1" applyFont="1" applyFill="1" applyBorder="1" applyAlignment="1" applyProtection="1">
      <alignment horizontal="left" vertical="center"/>
    </xf>
    <xf numFmtId="43" fontId="11" fillId="2" borderId="99" xfId="1" applyFont="1" applyFill="1" applyBorder="1" applyAlignment="1" applyProtection="1">
      <alignment horizontal="left" vertical="center"/>
    </xf>
    <xf numFmtId="43" fontId="5" fillId="0" borderId="30" xfId="1" applyFont="1" applyBorder="1" applyAlignment="1">
      <alignment horizontal="center" vertical="center" wrapText="1"/>
    </xf>
    <xf numFmtId="43" fontId="5" fillId="0" borderId="31" xfId="1" applyFont="1" applyBorder="1" applyAlignment="1">
      <alignment horizontal="center" vertical="center" wrapText="1"/>
    </xf>
    <xf numFmtId="43" fontId="78" fillId="0" borderId="23" xfId="1" applyFont="1" applyFill="1" applyBorder="1" applyAlignment="1">
      <alignment horizontal="center" vertical="center" wrapText="1"/>
    </xf>
    <xf numFmtId="43" fontId="78" fillId="0" borderId="24" xfId="1" applyFont="1" applyFill="1" applyBorder="1" applyAlignment="1">
      <alignment horizontal="center" vertical="center" wrapText="1"/>
    </xf>
    <xf numFmtId="43" fontId="78" fillId="0" borderId="96" xfId="1" applyFont="1" applyFill="1" applyBorder="1" applyAlignment="1">
      <alignment horizontal="center" vertical="center" wrapText="1"/>
    </xf>
    <xf numFmtId="43" fontId="78" fillId="0" borderId="97" xfId="1" applyFont="1" applyFill="1" applyBorder="1" applyAlignment="1">
      <alignment horizontal="center" vertical="center" wrapText="1"/>
    </xf>
    <xf numFmtId="43" fontId="78" fillId="0" borderId="0" xfId="1" applyFont="1" applyFill="1" applyBorder="1" applyAlignment="1">
      <alignment horizontal="center" vertical="center" wrapText="1"/>
    </xf>
    <xf numFmtId="43" fontId="11" fillId="2" borderId="11" xfId="1" applyFont="1" applyFill="1" applyBorder="1" applyAlignment="1" applyProtection="1">
      <alignment horizontal="left" vertical="center"/>
    </xf>
    <xf numFmtId="43" fontId="11" fillId="2" borderId="15" xfId="1" applyFont="1" applyFill="1" applyBorder="1" applyAlignment="1" applyProtection="1">
      <alignment vertical="center"/>
    </xf>
    <xf numFmtId="43" fontId="11" fillId="2" borderId="37" xfId="1" applyFont="1" applyFill="1" applyBorder="1" applyAlignment="1" applyProtection="1">
      <alignment vertical="center"/>
    </xf>
    <xf numFmtId="43" fontId="11" fillId="2" borderId="2" xfId="1" applyFont="1" applyFill="1" applyBorder="1" applyAlignment="1" applyProtection="1">
      <alignment vertical="center"/>
    </xf>
    <xf numFmtId="43" fontId="11" fillId="2" borderId="9" xfId="1" applyFont="1" applyFill="1" applyBorder="1" applyAlignment="1" applyProtection="1">
      <alignment vertical="center"/>
    </xf>
    <xf numFmtId="43" fontId="11" fillId="2" borderId="17" xfId="1" applyFont="1" applyFill="1" applyBorder="1" applyAlignment="1" applyProtection="1">
      <alignment vertical="center"/>
    </xf>
    <xf numFmtId="43" fontId="11" fillId="2" borderId="0" xfId="1" applyFont="1" applyFill="1" applyBorder="1" applyAlignment="1" applyProtection="1">
      <alignment vertical="center"/>
    </xf>
    <xf numFmtId="43" fontId="11" fillId="2" borderId="22" xfId="1" applyFont="1" applyFill="1" applyBorder="1" applyAlignment="1" applyProtection="1">
      <alignment vertical="center"/>
    </xf>
    <xf numFmtId="0" fontId="40" fillId="3" borderId="30" xfId="4" applyFont="1" applyFill="1" applyBorder="1" applyAlignment="1">
      <alignment horizontal="center" vertical="center"/>
    </xf>
    <xf numFmtId="0" fontId="40" fillId="3" borderId="31" xfId="4" applyFont="1" applyFill="1" applyBorder="1" applyAlignment="1">
      <alignment horizontal="center" vertical="center"/>
    </xf>
    <xf numFmtId="0" fontId="40" fillId="3" borderId="32" xfId="4" applyFont="1" applyFill="1" applyBorder="1" applyAlignment="1">
      <alignment horizontal="center" vertical="center"/>
    </xf>
    <xf numFmtId="0" fontId="91" fillId="14" borderId="105" xfId="132" applyFont="1" applyFill="1" applyBorder="1" applyAlignment="1">
      <alignment horizontal="left" vertical="center"/>
    </xf>
    <xf numFmtId="0" fontId="64" fillId="0" borderId="0" xfId="79" applyFont="1" applyAlignment="1">
      <alignment horizontal="center" vertical="center" wrapText="1"/>
    </xf>
    <xf numFmtId="43" fontId="6" fillId="35" borderId="3" xfId="1" applyFont="1" applyFill="1" applyBorder="1" applyAlignment="1" applyProtection="1">
      <alignment horizontal="center" vertical="center" wrapText="1"/>
    </xf>
    <xf numFmtId="0" fontId="60" fillId="35" borderId="3" xfId="0" applyFont="1" applyFill="1" applyBorder="1" applyAlignment="1">
      <alignment horizontal="center"/>
    </xf>
    <xf numFmtId="0" fontId="65" fillId="36" borderId="89" xfId="79" applyFont="1" applyFill="1" applyBorder="1" applyAlignment="1">
      <alignment horizontal="center" vertical="center"/>
    </xf>
    <xf numFmtId="0" fontId="65" fillId="36" borderId="72" xfId="79" applyFont="1" applyFill="1" applyBorder="1" applyAlignment="1">
      <alignment horizontal="center" vertical="center"/>
    </xf>
    <xf numFmtId="49" fontId="65" fillId="36" borderId="86" xfId="79" applyNumberFormat="1" applyFont="1" applyFill="1" applyBorder="1" applyAlignment="1">
      <alignment horizontal="center" vertical="center" wrapText="1"/>
    </xf>
    <xf numFmtId="49" fontId="65" fillId="36" borderId="87" xfId="79" applyNumberFormat="1" applyFont="1" applyFill="1" applyBorder="1" applyAlignment="1">
      <alignment horizontal="center" vertical="center" wrapText="1"/>
    </xf>
    <xf numFmtId="49" fontId="65" fillId="36" borderId="88" xfId="79" applyNumberFormat="1" applyFont="1" applyFill="1" applyBorder="1" applyAlignment="1">
      <alignment horizontal="center" vertical="center" wrapText="1"/>
    </xf>
    <xf numFmtId="49" fontId="65" fillId="36" borderId="64" xfId="79" applyNumberFormat="1" applyFont="1" applyFill="1" applyBorder="1" applyAlignment="1">
      <alignment horizontal="center" vertical="center" wrapText="1"/>
    </xf>
    <xf numFmtId="49" fontId="65" fillId="36" borderId="67" xfId="79" applyNumberFormat="1" applyFont="1" applyFill="1" applyBorder="1" applyAlignment="1">
      <alignment horizontal="center" vertical="center" wrapText="1"/>
    </xf>
    <xf numFmtId="49" fontId="65" fillId="36" borderId="71" xfId="79" applyNumberFormat="1" applyFont="1" applyFill="1" applyBorder="1" applyAlignment="1">
      <alignment horizontal="center" vertical="center" wrapText="1"/>
    </xf>
  </cellXfs>
  <cellStyles count="13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legamento ipertestual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Comma [0]_all7_pdc" xfId="34"/>
    <cellStyle name="Comma 2" xfId="35"/>
    <cellStyle name="Comma 2 2" xfId="36"/>
    <cellStyle name="Comma_all7_pdc" xfId="37"/>
    <cellStyle name="Currency [0]_all7_pdc" xfId="38"/>
    <cellStyle name="Currency_all7_pdc" xfId="39"/>
    <cellStyle name="Euro" xfId="40"/>
    <cellStyle name="Euro 2" xfId="41"/>
    <cellStyle name="Euro 3" xfId="42"/>
    <cellStyle name="Euro 4" xfId="43"/>
    <cellStyle name="Euro 5" xfId="44"/>
    <cellStyle name="Euro 6" xfId="45"/>
    <cellStyle name="Euro 7" xfId="46"/>
    <cellStyle name="Euro 8" xfId="47"/>
    <cellStyle name="Euro_allegato tabelle I report 2012" xfId="48"/>
    <cellStyle name="Input 2" xfId="49"/>
    <cellStyle name="Migliaia" xfId="1" builtinId="3"/>
    <cellStyle name="Migliaia (0)_% Attrezzature ed Edilizia" xfId="50"/>
    <cellStyle name="Migliaia [0]" xfId="2" builtinId="6"/>
    <cellStyle name="Migliaia [0] 2" xfId="51"/>
    <cellStyle name="Migliaia [0] 2 2" xfId="52"/>
    <cellStyle name="Migliaia [0] 3" xfId="53"/>
    <cellStyle name="Migliaia [0] 3 2" xfId="54"/>
    <cellStyle name="Migliaia [0] 4" xfId="55"/>
    <cellStyle name="Migliaia [0] 5" xfId="56"/>
    <cellStyle name="Migliaia [0] 6" xfId="57"/>
    <cellStyle name="Migliaia [0] 7" xfId="126"/>
    <cellStyle name="Migliaia [0] 8 2" xfId="58"/>
    <cellStyle name="Migliaia 10" xfId="125"/>
    <cellStyle name="Migliaia 11" xfId="59"/>
    <cellStyle name="Migliaia 2" xfId="60"/>
    <cellStyle name="Migliaia 2 2" xfId="61"/>
    <cellStyle name="Migliaia 2 3" xfId="62"/>
    <cellStyle name="Migliaia 2 4" xfId="63"/>
    <cellStyle name="Migliaia 2_AOTS_Organizzazione_31-12-2011" xfId="64"/>
    <cellStyle name="Migliaia 3" xfId="65"/>
    <cellStyle name="Migliaia 3 2" xfId="66"/>
    <cellStyle name="Migliaia 3_AOTS_Organizzazione_31-12-2011" xfId="67"/>
    <cellStyle name="Migliaia 4" xfId="68"/>
    <cellStyle name="Migliaia 4 2" xfId="69"/>
    <cellStyle name="Migliaia 5" xfId="70"/>
    <cellStyle name="Migliaia 6" xfId="71"/>
    <cellStyle name="Migliaia 6 2" xfId="118"/>
    <cellStyle name="Migliaia 6 2 2" xfId="128"/>
    <cellStyle name="Migliaia 7" xfId="72"/>
    <cellStyle name="Migliaia 8" xfId="73"/>
    <cellStyle name="Migliaia 9" xfId="115"/>
    <cellStyle name="Migliaia 9 2" xfId="74"/>
    <cellStyle name="Migliaia 9 3" xfId="129"/>
    <cellStyle name="Neutrale 2" xfId="75"/>
    <cellStyle name="Normal 12" xfId="116"/>
    <cellStyle name="Normal 2" xfId="76"/>
    <cellStyle name="Normal_all7_pdc" xfId="77"/>
    <cellStyle name="Normal_Sheet1 2" xfId="5"/>
    <cellStyle name="Normale" xfId="0" builtinId="0"/>
    <cellStyle name="Normale 10" xfId="120"/>
    <cellStyle name="Normale 11" xfId="122"/>
    <cellStyle name="Normale 12" xfId="124"/>
    <cellStyle name="Normale 19 2" xfId="123"/>
    <cellStyle name="Normale 2" xfId="78"/>
    <cellStyle name="Normale 2 2" xfId="79"/>
    <cellStyle name="Normale 2_1 BILANCIO AOU" xfId="80"/>
    <cellStyle name="Normale 20" xfId="121"/>
    <cellStyle name="Normale 3" xfId="81"/>
    <cellStyle name="Normale 3 2" xfId="82"/>
    <cellStyle name="Normale 3 3" xfId="83"/>
    <cellStyle name="Normale 4" xfId="84"/>
    <cellStyle name="Normale 5" xfId="85"/>
    <cellStyle name="Normale 6" xfId="86"/>
    <cellStyle name="Normale 6 2" xfId="87"/>
    <cellStyle name="Normale 7" xfId="88"/>
    <cellStyle name="Normale 7 2" xfId="89"/>
    <cellStyle name="Normale 7 3" xfId="119"/>
    <cellStyle name="Normale 7 3 2" xfId="131"/>
    <cellStyle name="Normale 7_Allegati 1-2def" xfId="90"/>
    <cellStyle name="Normale 8" xfId="91"/>
    <cellStyle name="Normale 9" xfId="92"/>
    <cellStyle name="Normale_FLUSSI FINANZIARI" xfId="132"/>
    <cellStyle name="Normale_Mattone CE_Budget 2008 (v. 0.5 del 12.02.2008) 2" xfId="4"/>
    <cellStyle name="Normale_Mattone CE_Budget 2008 (v. 0.5 del 12.02.2008) 2 2" xfId="130"/>
    <cellStyle name="Normale_modelloDCF2004bottoni" xfId="133"/>
    <cellStyle name="Nota 2" xfId="93"/>
    <cellStyle name="Output 2" xfId="94"/>
    <cellStyle name="Percent 2" xfId="95"/>
    <cellStyle name="Percent 3" xfId="96"/>
    <cellStyle name="Percentuale" xfId="3" builtinId="5"/>
    <cellStyle name="Percentuale 2" xfId="97"/>
    <cellStyle name="Percentuale 2 2" xfId="98"/>
    <cellStyle name="Percentuale 2 3" xfId="99"/>
    <cellStyle name="Percentuale 3" xfId="127"/>
    <cellStyle name="Percentuale 4" xfId="100"/>
    <cellStyle name="SAS FM Row drillable header" xfId="101"/>
    <cellStyle name="SAS FM Row header" xfId="102"/>
    <cellStyle name="Testo avviso 2" xfId="103"/>
    <cellStyle name="Testo descrittivo 2" xfId="104"/>
    <cellStyle name="Titolo 1 2" xfId="105"/>
    <cellStyle name="Titolo 2 2" xfId="106"/>
    <cellStyle name="Titolo 3 2" xfId="107"/>
    <cellStyle name="Titolo 4 2" xfId="108"/>
    <cellStyle name="Titolo 5" xfId="109"/>
    <cellStyle name="Titolo 6" xfId="117"/>
    <cellStyle name="Totale 2" xfId="110"/>
    <cellStyle name="Valore non valido 2" xfId="111"/>
    <cellStyle name="Valore valido 2" xfId="112"/>
    <cellStyle name="Valuta (0)_% Attrezzature ed Edilizia" xfId="113"/>
    <cellStyle name="Valuta 2" xfId="114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PCD\SSR\2023\15.%20Consolidato%20consuntivo%202023\1.%20Indicazioni%20di%20chiusura%20parte%20ARCS\TABELLE%20ECONOMICHE%20E%20MONITORAGGIO%20DGR%201244\SCHEMA%20BILANCIO%20ASCO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F\EGAS%2005_2016\BILANCIO\BILANCIO%202024\Esercizio\NOTA%20INTEGRATIVA%202024\Tabelle%20NI%20aggiornate\2.%204_Immobilizz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Schema SP"/>
      <sheetName val="SP Min"/>
      <sheetName val="SP Attivo Alim"/>
      <sheetName val="Alimentazione SP P"/>
      <sheetName val="Rendiconto finanziario"/>
      <sheetName val="ce art. 44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I18"/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"/>
      <sheetName val="Tab.2"/>
      <sheetName val="Tab.3"/>
      <sheetName val="Tab.4"/>
      <sheetName val="Tab.5"/>
      <sheetName val="Tab.6"/>
      <sheetName val="Tab.7"/>
    </sheetNames>
    <sheetDataSet>
      <sheetData sheetId="0"/>
      <sheetData sheetId="1"/>
      <sheetData sheetId="2"/>
      <sheetData sheetId="3"/>
      <sheetData sheetId="4">
        <row r="23">
          <cell r="Q23">
            <v>256581.77000000008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abSelected="1" workbookViewId="0">
      <selection activeCell="D129" sqref="D128:D129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10.5703125" customWidth="1"/>
    <col min="8" max="8" width="18.42578125" customWidth="1"/>
    <col min="9" max="9" width="9.28515625" style="295" customWidth="1"/>
    <col min="10" max="10" width="10.7109375" bestFit="1" customWidth="1"/>
    <col min="11" max="11" width="13.28515625" bestFit="1" customWidth="1"/>
  </cols>
  <sheetData>
    <row r="1" spans="1:11" ht="15.75">
      <c r="A1" s="1"/>
      <c r="B1" s="1"/>
      <c r="C1" s="2"/>
      <c r="D1" s="161"/>
      <c r="E1" s="161"/>
      <c r="F1" s="161"/>
      <c r="G1" s="161"/>
    </row>
    <row r="2" spans="1:11" ht="20.25">
      <c r="A2" s="219" t="s">
        <v>0</v>
      </c>
      <c r="B2" s="209"/>
      <c r="C2" s="209"/>
      <c r="D2" s="817" t="s">
        <v>1</v>
      </c>
      <c r="E2" s="818"/>
      <c r="F2" s="818"/>
      <c r="G2" s="819"/>
      <c r="J2" s="4"/>
    </row>
    <row r="3" spans="1:11" ht="13.5" thickBot="1">
      <c r="A3" s="5"/>
      <c r="B3" s="5"/>
      <c r="C3" s="6"/>
      <c r="D3" s="162"/>
      <c r="E3" s="162"/>
      <c r="F3" s="162"/>
      <c r="G3" s="162"/>
      <c r="H3" s="163"/>
      <c r="I3" s="7"/>
      <c r="J3" s="7"/>
    </row>
    <row r="4" spans="1:11" ht="33" customHeight="1">
      <c r="A4" s="820" t="s">
        <v>1823</v>
      </c>
      <c r="B4" s="821"/>
      <c r="C4" s="822"/>
      <c r="D4" s="825" t="s">
        <v>2661</v>
      </c>
      <c r="E4" s="827" t="s">
        <v>2659</v>
      </c>
      <c r="F4" s="823" t="s">
        <v>2660</v>
      </c>
      <c r="G4" s="824"/>
      <c r="H4" s="8"/>
      <c r="I4"/>
    </row>
    <row r="5" spans="1:11">
      <c r="A5" s="210"/>
      <c r="B5" s="211"/>
      <c r="C5" s="211"/>
      <c r="D5" s="826"/>
      <c r="E5" s="828"/>
      <c r="F5" s="212" t="s">
        <v>2</v>
      </c>
      <c r="G5" s="339" t="s">
        <v>3</v>
      </c>
      <c r="H5" s="9"/>
      <c r="I5"/>
    </row>
    <row r="6" spans="1:11">
      <c r="A6" s="10"/>
      <c r="B6" s="11"/>
      <c r="C6" s="12"/>
      <c r="D6" s="164"/>
      <c r="E6" s="164"/>
      <c r="F6" s="165"/>
      <c r="G6" s="148"/>
      <c r="H6" s="13"/>
      <c r="I6"/>
    </row>
    <row r="7" spans="1:11">
      <c r="A7" s="14" t="s">
        <v>4</v>
      </c>
      <c r="B7" s="5"/>
      <c r="C7" s="15" t="s">
        <v>5</v>
      </c>
      <c r="D7" s="166"/>
      <c r="E7" s="166"/>
      <c r="F7" s="167"/>
      <c r="G7" s="149"/>
      <c r="H7" s="7"/>
      <c r="I7"/>
    </row>
    <row r="8" spans="1:11">
      <c r="A8" s="14"/>
      <c r="B8" s="5"/>
      <c r="C8" s="16"/>
      <c r="D8" s="168"/>
      <c r="E8" s="168"/>
      <c r="F8" s="167"/>
      <c r="G8" s="149"/>
      <c r="H8" s="7"/>
      <c r="I8"/>
    </row>
    <row r="9" spans="1:11">
      <c r="A9" s="14">
        <v>1</v>
      </c>
      <c r="B9" s="15" t="s">
        <v>6</v>
      </c>
      <c r="C9" s="15"/>
      <c r="D9" s="169">
        <f t="shared" ref="D9:E9" si="0">D10+D11+D18+D23</f>
        <v>86090312</v>
      </c>
      <c r="E9" s="169">
        <f t="shared" si="0"/>
        <v>63586077</v>
      </c>
      <c r="F9" s="340">
        <f>+D9-E9</f>
        <v>22504235</v>
      </c>
      <c r="G9" s="296">
        <f>+F9/E9</f>
        <v>0.35391765087190391</v>
      </c>
      <c r="H9" s="17"/>
      <c r="I9"/>
      <c r="J9" s="160"/>
      <c r="K9" s="206"/>
    </row>
    <row r="10" spans="1:11">
      <c r="A10" s="18"/>
      <c r="B10" s="19" t="s">
        <v>7</v>
      </c>
      <c r="C10" s="19"/>
      <c r="D10" s="170">
        <f>+ROUND('CE Min'!D27,0)</f>
        <v>44562905</v>
      </c>
      <c r="E10" s="170">
        <f>+ROUND('CE Min'!E27,0)</f>
        <v>54520670</v>
      </c>
      <c r="F10" s="171">
        <f t="shared" ref="F10:F73" si="1">+D10-E10</f>
        <v>-9957765</v>
      </c>
      <c r="G10" s="150">
        <f t="shared" ref="G10:G73" si="2">+F10/E10</f>
        <v>-0.18264201448734949</v>
      </c>
      <c r="H10" s="20"/>
      <c r="I10"/>
      <c r="J10" s="194"/>
      <c r="K10" s="206"/>
    </row>
    <row r="11" spans="1:11">
      <c r="A11" s="14"/>
      <c r="B11" s="19" t="s">
        <v>8</v>
      </c>
      <c r="C11" s="19"/>
      <c r="D11" s="170">
        <f t="shared" ref="D11:E11" si="3">SUM(D12:D17)</f>
        <v>41527407</v>
      </c>
      <c r="E11" s="170">
        <f t="shared" si="3"/>
        <v>9065407</v>
      </c>
      <c r="F11" s="171">
        <f t="shared" si="1"/>
        <v>32462000</v>
      </c>
      <c r="G11" s="150">
        <f t="shared" si="2"/>
        <v>3.5808651503457041</v>
      </c>
      <c r="H11" s="20"/>
      <c r="I11"/>
      <c r="J11" s="194"/>
      <c r="K11" s="206"/>
    </row>
    <row r="12" spans="1:11">
      <c r="A12" s="14"/>
      <c r="B12" s="21"/>
      <c r="C12" s="53" t="s">
        <v>9</v>
      </c>
      <c r="D12" s="170">
        <f>+ROUND('CE Min'!D38,0)</f>
        <v>38785989</v>
      </c>
      <c r="E12" s="170">
        <f>+ROUND('CE Min'!E38,0)</f>
        <v>6726688</v>
      </c>
      <c r="F12" s="172">
        <f t="shared" si="1"/>
        <v>32059301</v>
      </c>
      <c r="G12" s="151">
        <f t="shared" si="2"/>
        <v>4.7659860246231132</v>
      </c>
      <c r="H12" s="22"/>
      <c r="I12"/>
      <c r="J12" s="194"/>
      <c r="K12" s="206"/>
    </row>
    <row r="13" spans="1:11" ht="22.5">
      <c r="A13" s="18"/>
      <c r="B13" s="21"/>
      <c r="C13" s="53" t="s">
        <v>10</v>
      </c>
      <c r="D13" s="170">
        <f>+ROUND('CE Min'!D39,0)</f>
        <v>0</v>
      </c>
      <c r="E13" s="170">
        <f>+ROUND('CE Min'!E39,0)</f>
        <v>0</v>
      </c>
      <c r="F13" s="172">
        <f t="shared" si="1"/>
        <v>0</v>
      </c>
      <c r="G13" s="151"/>
      <c r="H13" s="22"/>
      <c r="I13"/>
      <c r="J13" s="194"/>
      <c r="K13" s="206"/>
    </row>
    <row r="14" spans="1:11" ht="22.5">
      <c r="A14" s="14"/>
      <c r="B14" s="21"/>
      <c r="C14" s="53" t="s">
        <v>11</v>
      </c>
      <c r="D14" s="170">
        <f>+ROUND('CE Min'!D40,0)</f>
        <v>345000</v>
      </c>
      <c r="E14" s="170">
        <f>+ROUND('CE Min'!E40,0)</f>
        <v>0</v>
      </c>
      <c r="F14" s="172">
        <f t="shared" si="1"/>
        <v>345000</v>
      </c>
      <c r="G14" s="151"/>
      <c r="H14" s="22"/>
      <c r="I14"/>
      <c r="J14" s="194"/>
      <c r="K14" s="206"/>
    </row>
    <row r="15" spans="1:11">
      <c r="A15" s="18"/>
      <c r="B15" s="21"/>
      <c r="C15" s="53" t="s">
        <v>12</v>
      </c>
      <c r="D15" s="170">
        <f>+ROUND('CE Min'!D41,0)</f>
        <v>1430000</v>
      </c>
      <c r="E15" s="170">
        <f>+ROUND('CE Min'!E41,0)</f>
        <v>0</v>
      </c>
      <c r="F15" s="172">
        <f t="shared" si="1"/>
        <v>1430000</v>
      </c>
      <c r="G15" s="151"/>
      <c r="H15" s="22"/>
      <c r="I15"/>
      <c r="J15" s="194"/>
      <c r="K15" s="206"/>
    </row>
    <row r="16" spans="1:11">
      <c r="A16" s="18"/>
      <c r="B16" s="21"/>
      <c r="C16" s="53" t="s">
        <v>13</v>
      </c>
      <c r="D16" s="170">
        <f>+ROUND('CE Min'!D42,0)</f>
        <v>0</v>
      </c>
      <c r="E16" s="170">
        <f>+ROUND('CE Min'!E42,0)</f>
        <v>0</v>
      </c>
      <c r="F16" s="172">
        <f t="shared" si="1"/>
        <v>0</v>
      </c>
      <c r="G16" s="151"/>
      <c r="H16" s="22"/>
      <c r="I16"/>
      <c r="J16" s="194"/>
      <c r="K16" s="206"/>
    </row>
    <row r="17" spans="1:11">
      <c r="A17" s="14"/>
      <c r="B17" s="21"/>
      <c r="C17" s="53" t="s">
        <v>14</v>
      </c>
      <c r="D17" s="170">
        <f>+ROUND('CE Min'!D45,0)</f>
        <v>966418</v>
      </c>
      <c r="E17" s="170">
        <f>+ROUND('CE Min'!E45,0)</f>
        <v>2338719</v>
      </c>
      <c r="F17" s="172">
        <f t="shared" si="1"/>
        <v>-1372301</v>
      </c>
      <c r="G17" s="151">
        <f t="shared" si="2"/>
        <v>-0.58677464030522697</v>
      </c>
      <c r="H17" s="22"/>
      <c r="I17"/>
      <c r="J17" s="194"/>
      <c r="K17" s="206"/>
    </row>
    <row r="18" spans="1:11">
      <c r="A18" s="18"/>
      <c r="B18" s="21" t="s">
        <v>15</v>
      </c>
      <c r="C18" s="19"/>
      <c r="D18" s="170">
        <f t="shared" ref="D18:E18" si="4">SUM(D19:D22)</f>
        <v>0</v>
      </c>
      <c r="E18" s="170">
        <f t="shared" si="4"/>
        <v>0</v>
      </c>
      <c r="F18" s="171">
        <f t="shared" si="1"/>
        <v>0</v>
      </c>
      <c r="G18" s="150"/>
      <c r="H18" s="20"/>
      <c r="I18"/>
      <c r="J18" s="194"/>
      <c r="K18" s="206"/>
    </row>
    <row r="19" spans="1:11">
      <c r="A19" s="18"/>
      <c r="B19" s="21"/>
      <c r="C19" s="19" t="s">
        <v>16</v>
      </c>
      <c r="D19" s="170">
        <f>+ROUND('CE Min'!D52,0)</f>
        <v>0</v>
      </c>
      <c r="E19" s="170">
        <f>+ROUND('CE Min'!E52,0)</f>
        <v>0</v>
      </c>
      <c r="F19" s="172">
        <f t="shared" si="1"/>
        <v>0</v>
      </c>
      <c r="G19" s="151"/>
      <c r="H19" s="22"/>
      <c r="I19"/>
      <c r="J19" s="194"/>
      <c r="K19" s="206"/>
    </row>
    <row r="20" spans="1:11">
      <c r="A20" s="18"/>
      <c r="B20" s="21"/>
      <c r="C20" s="19" t="s">
        <v>17</v>
      </c>
      <c r="D20" s="170">
        <f>+ROUND('CE Min'!D53,0)</f>
        <v>0</v>
      </c>
      <c r="E20" s="170">
        <f>+ROUND('CE Min'!E53,0)</f>
        <v>0</v>
      </c>
      <c r="F20" s="172">
        <f t="shared" si="1"/>
        <v>0</v>
      </c>
      <c r="G20" s="151"/>
      <c r="H20" s="22"/>
      <c r="I20"/>
      <c r="J20" s="194"/>
      <c r="K20" s="206"/>
    </row>
    <row r="21" spans="1:11">
      <c r="A21" s="18"/>
      <c r="B21" s="21"/>
      <c r="C21" s="19" t="s">
        <v>18</v>
      </c>
      <c r="D21" s="170">
        <f>+ROUND('CE Min'!D54,0)</f>
        <v>0</v>
      </c>
      <c r="E21" s="170">
        <f>+ROUND('CE Min'!E54,0)</f>
        <v>0</v>
      </c>
      <c r="F21" s="172">
        <f t="shared" si="1"/>
        <v>0</v>
      </c>
      <c r="G21" s="151"/>
      <c r="H21" s="22"/>
      <c r="I21"/>
      <c r="J21" s="194"/>
      <c r="K21" s="206"/>
    </row>
    <row r="22" spans="1:11">
      <c r="A22" s="18"/>
      <c r="B22" s="21"/>
      <c r="C22" s="19" t="s">
        <v>19</v>
      </c>
      <c r="D22" s="170">
        <f>+ROUND('CE Min'!D55,0)</f>
        <v>0</v>
      </c>
      <c r="E22" s="170">
        <f>+ROUND('CE Min'!E55,0)</f>
        <v>0</v>
      </c>
      <c r="F22" s="172">
        <f t="shared" si="1"/>
        <v>0</v>
      </c>
      <c r="G22" s="151"/>
      <c r="H22" s="22"/>
      <c r="I22"/>
      <c r="J22" s="194"/>
      <c r="K22" s="206"/>
    </row>
    <row r="23" spans="1:11">
      <c r="A23" s="18"/>
      <c r="B23" s="21" t="s">
        <v>20</v>
      </c>
      <c r="C23" s="19"/>
      <c r="D23" s="170">
        <f>+ROUND('CE Min'!D56,0)</f>
        <v>0</v>
      </c>
      <c r="E23" s="170">
        <f>+ROUND('CE Min'!E56,0)</f>
        <v>0</v>
      </c>
      <c r="F23" s="172">
        <f t="shared" si="1"/>
        <v>0</v>
      </c>
      <c r="G23" s="151"/>
      <c r="H23" s="22"/>
      <c r="I23"/>
      <c r="J23" s="194"/>
      <c r="K23" s="206"/>
    </row>
    <row r="24" spans="1:11">
      <c r="A24" s="14">
        <v>2</v>
      </c>
      <c r="B24" s="15" t="s">
        <v>21</v>
      </c>
      <c r="C24" s="15"/>
      <c r="D24" s="173">
        <f>+ROUND('CE Min'!D57,0)</f>
        <v>0</v>
      </c>
      <c r="E24" s="173">
        <f>+ROUND('CE Min'!E57,0)</f>
        <v>0</v>
      </c>
      <c r="F24" s="174">
        <f t="shared" si="1"/>
        <v>0</v>
      </c>
      <c r="G24" s="291"/>
      <c r="H24" s="23"/>
      <c r="I24"/>
      <c r="J24" s="160"/>
      <c r="K24" s="206"/>
    </row>
    <row r="25" spans="1:11">
      <c r="A25" s="14">
        <v>3</v>
      </c>
      <c r="B25" s="15" t="s">
        <v>22</v>
      </c>
      <c r="C25" s="15"/>
      <c r="D25" s="173">
        <f>+ROUND('CE Min'!D60,0)</f>
        <v>14270041</v>
      </c>
      <c r="E25" s="173">
        <f>+ROUND('CE Min'!E60,0)</f>
        <v>714602</v>
      </c>
      <c r="F25" s="174">
        <f t="shared" si="1"/>
        <v>13555439</v>
      </c>
      <c r="G25" s="291">
        <f t="shared" si="2"/>
        <v>18.969215031584014</v>
      </c>
      <c r="H25" s="23"/>
      <c r="I25"/>
      <c r="J25" s="160"/>
      <c r="K25" s="206"/>
    </row>
    <row r="26" spans="1:11">
      <c r="A26" s="14">
        <v>4</v>
      </c>
      <c r="B26" s="15" t="s">
        <v>23</v>
      </c>
      <c r="C26" s="15"/>
      <c r="D26" s="169">
        <f t="shared" ref="D26:E26" si="5">SUM(D27:D29)</f>
        <v>230806</v>
      </c>
      <c r="E26" s="169">
        <f t="shared" si="5"/>
        <v>234093</v>
      </c>
      <c r="F26" s="174">
        <f t="shared" si="1"/>
        <v>-3287</v>
      </c>
      <c r="G26" s="291">
        <f t="shared" si="2"/>
        <v>-1.4041427979478242E-2</v>
      </c>
      <c r="H26" s="23"/>
      <c r="I26"/>
      <c r="J26" s="160"/>
      <c r="K26" s="206"/>
    </row>
    <row r="27" spans="1:11">
      <c r="A27" s="14"/>
      <c r="B27" s="19" t="s">
        <v>24</v>
      </c>
      <c r="C27" s="24"/>
      <c r="D27" s="170">
        <f>+ROUND('CE Min'!D67,0)</f>
        <v>7006</v>
      </c>
      <c r="E27" s="170">
        <f>+ROUND('CE Min'!E67,0)</f>
        <v>11492</v>
      </c>
      <c r="F27" s="172">
        <f t="shared" si="1"/>
        <v>-4486</v>
      </c>
      <c r="G27" s="151">
        <f t="shared" si="2"/>
        <v>-0.39035851026801255</v>
      </c>
      <c r="H27" s="22"/>
      <c r="I27"/>
      <c r="J27" s="194"/>
      <c r="K27" s="206"/>
    </row>
    <row r="28" spans="1:11">
      <c r="A28" s="18"/>
      <c r="B28" s="19" t="s">
        <v>25</v>
      </c>
      <c r="C28" s="24"/>
      <c r="D28" s="170">
        <f>+ROUND('CE Min'!D113,0)</f>
        <v>0</v>
      </c>
      <c r="E28" s="170">
        <f>+ROUND('CE Min'!E113,0)</f>
        <v>0</v>
      </c>
      <c r="F28" s="172">
        <f t="shared" si="1"/>
        <v>0</v>
      </c>
      <c r="G28" s="151"/>
      <c r="H28" s="22"/>
      <c r="I28"/>
      <c r="J28" s="194"/>
      <c r="K28" s="206"/>
    </row>
    <row r="29" spans="1:11">
      <c r="A29" s="14"/>
      <c r="B29" s="19" t="s">
        <v>26</v>
      </c>
      <c r="C29" s="24"/>
      <c r="D29" s="170">
        <f>+ROUND('CE Min'!D106+'CE Min'!D112,0)</f>
        <v>223800</v>
      </c>
      <c r="E29" s="170">
        <f>+ROUND('CE Min'!E106+'CE Min'!E112,0)</f>
        <v>222601</v>
      </c>
      <c r="F29" s="172">
        <f t="shared" si="1"/>
        <v>1199</v>
      </c>
      <c r="G29" s="151">
        <f t="shared" si="2"/>
        <v>5.3863190192317192E-3</v>
      </c>
      <c r="H29" s="22"/>
      <c r="I29"/>
      <c r="J29" s="194"/>
      <c r="K29" s="206"/>
    </row>
    <row r="30" spans="1:11">
      <c r="A30" s="14">
        <v>5</v>
      </c>
      <c r="B30" s="15" t="s">
        <v>27</v>
      </c>
      <c r="C30" s="15"/>
      <c r="D30" s="173">
        <f>+ROUND(+'CE Min'!D121,0)</f>
        <v>479411522</v>
      </c>
      <c r="E30" s="173">
        <f>+ROUND(+'CE Min'!E121,0)</f>
        <v>443414177</v>
      </c>
      <c r="F30" s="174">
        <f t="shared" si="1"/>
        <v>35997345</v>
      </c>
      <c r="G30" s="291">
        <f t="shared" si="2"/>
        <v>8.1182214884392381E-2</v>
      </c>
      <c r="H30" s="23"/>
      <c r="I30"/>
      <c r="J30" s="160"/>
      <c r="K30" s="206"/>
    </row>
    <row r="31" spans="1:11">
      <c r="A31" s="14">
        <v>6</v>
      </c>
      <c r="B31" s="15" t="s">
        <v>28</v>
      </c>
      <c r="C31" s="15"/>
      <c r="D31" s="173">
        <f>+ROUND('CE Min'!D142,0)</f>
        <v>0</v>
      </c>
      <c r="E31" s="173">
        <f>+ROUND('CE Min'!E142,0)</f>
        <v>0</v>
      </c>
      <c r="F31" s="174">
        <f t="shared" si="1"/>
        <v>0</v>
      </c>
      <c r="G31" s="291"/>
      <c r="H31" s="218"/>
      <c r="I31" s="217"/>
      <c r="J31" s="160"/>
      <c r="K31" s="206"/>
    </row>
    <row r="32" spans="1:11">
      <c r="A32" s="14">
        <v>7</v>
      </c>
      <c r="B32" s="15" t="s">
        <v>29</v>
      </c>
      <c r="C32" s="15"/>
      <c r="D32" s="173">
        <f>+ROUND('CE Min'!D146,0)</f>
        <v>186483</v>
      </c>
      <c r="E32" s="173">
        <f>+ROUND('CE Min'!E146,0)</f>
        <v>162903</v>
      </c>
      <c r="F32" s="174">
        <f t="shared" si="1"/>
        <v>23580</v>
      </c>
      <c r="G32" s="291">
        <f t="shared" si="2"/>
        <v>0.14474871549326901</v>
      </c>
      <c r="H32" s="23"/>
      <c r="I32"/>
      <c r="J32" s="160"/>
      <c r="K32" s="206"/>
    </row>
    <row r="33" spans="1:11">
      <c r="A33" s="14">
        <v>8</v>
      </c>
      <c r="B33" s="15" t="s">
        <v>30</v>
      </c>
      <c r="C33" s="15"/>
      <c r="D33" s="173">
        <f>+ROUND(+'CE Min'!D153,0)</f>
        <v>0</v>
      </c>
      <c r="E33" s="173">
        <f>+ROUND(+'CE Min'!E153,0)</f>
        <v>0</v>
      </c>
      <c r="F33" s="174">
        <f t="shared" si="1"/>
        <v>0</v>
      </c>
      <c r="G33" s="152"/>
      <c r="H33" s="23"/>
      <c r="I33"/>
      <c r="J33" s="160"/>
      <c r="K33" s="206"/>
    </row>
    <row r="34" spans="1:11">
      <c r="A34" s="14">
        <v>9</v>
      </c>
      <c r="B34" s="15" t="s">
        <v>31</v>
      </c>
      <c r="C34" s="15"/>
      <c r="D34" s="173">
        <f>+ROUND(+'CE Min'!D154,0)</f>
        <v>7500</v>
      </c>
      <c r="E34" s="173">
        <f>+ROUND(+'CE Min'!E154,0)</f>
        <v>9191</v>
      </c>
      <c r="F34" s="174">
        <f t="shared" si="1"/>
        <v>-1691</v>
      </c>
      <c r="G34" s="152">
        <f t="shared" si="2"/>
        <v>-0.18398433249918397</v>
      </c>
      <c r="H34" s="23"/>
      <c r="I34"/>
      <c r="J34" s="160"/>
      <c r="K34" s="206"/>
    </row>
    <row r="35" spans="1:11">
      <c r="A35" s="213" t="s">
        <v>32</v>
      </c>
      <c r="B35" s="214"/>
      <c r="C35" s="214"/>
      <c r="D35" s="175">
        <f t="shared" ref="D35:E35" si="6">D9+D24+D25+D26+SUM(D30:D34)</f>
        <v>580196664</v>
      </c>
      <c r="E35" s="175">
        <f t="shared" si="6"/>
        <v>508121043</v>
      </c>
      <c r="F35" s="176">
        <f t="shared" si="1"/>
        <v>72075621</v>
      </c>
      <c r="G35" s="144">
        <f t="shared" si="2"/>
        <v>0.14184734522006404</v>
      </c>
      <c r="H35" s="23"/>
      <c r="I35"/>
      <c r="J35" s="160"/>
      <c r="K35" s="206"/>
    </row>
    <row r="36" spans="1:11">
      <c r="A36" s="18"/>
      <c r="B36" s="25"/>
      <c r="C36" s="16"/>
      <c r="D36" s="177"/>
      <c r="E36" s="177"/>
      <c r="F36" s="172"/>
      <c r="G36" s="151"/>
      <c r="H36" s="20"/>
      <c r="I36"/>
      <c r="J36" s="194"/>
      <c r="K36" s="206"/>
    </row>
    <row r="37" spans="1:11">
      <c r="A37" s="14" t="s">
        <v>33</v>
      </c>
      <c r="B37" s="5"/>
      <c r="C37" s="26" t="s">
        <v>34</v>
      </c>
      <c r="D37" s="178"/>
      <c r="E37" s="178"/>
      <c r="F37" s="174"/>
      <c r="G37" s="152"/>
      <c r="H37" s="20"/>
      <c r="I37"/>
      <c r="J37" s="160"/>
      <c r="K37" s="206"/>
    </row>
    <row r="38" spans="1:11">
      <c r="A38" s="14">
        <v>1</v>
      </c>
      <c r="B38" s="15" t="s">
        <v>35</v>
      </c>
      <c r="C38" s="27"/>
      <c r="D38" s="178">
        <f t="shared" ref="D38:E38" si="7">SUM(D39:D40)</f>
        <v>465303184</v>
      </c>
      <c r="E38" s="178">
        <f t="shared" si="7"/>
        <v>443367062</v>
      </c>
      <c r="F38" s="174">
        <f t="shared" si="1"/>
        <v>21936122</v>
      </c>
      <c r="G38" s="152">
        <f t="shared" si="2"/>
        <v>4.9476210300890597E-2</v>
      </c>
      <c r="H38" s="23"/>
      <c r="I38"/>
      <c r="J38" s="160"/>
      <c r="K38" s="206"/>
    </row>
    <row r="39" spans="1:11">
      <c r="A39" s="14"/>
      <c r="B39" s="19" t="s">
        <v>36</v>
      </c>
      <c r="C39" s="24"/>
      <c r="D39" s="170">
        <f>+ROUND('CE Min'!D161,0)</f>
        <v>458886193</v>
      </c>
      <c r="E39" s="170">
        <f>+ROUND('CE Min'!E161,0)</f>
        <v>435995385</v>
      </c>
      <c r="F39" s="172">
        <f t="shared" si="1"/>
        <v>22890808</v>
      </c>
      <c r="G39" s="151">
        <f t="shared" si="2"/>
        <v>5.2502408941782722E-2</v>
      </c>
      <c r="H39" s="22"/>
      <c r="I39"/>
      <c r="J39" s="194"/>
      <c r="K39" s="206"/>
    </row>
    <row r="40" spans="1:11">
      <c r="A40" s="18"/>
      <c r="B40" s="19" t="s">
        <v>37</v>
      </c>
      <c r="C40" s="24"/>
      <c r="D40" s="170">
        <f>+ROUND('CE Min'!D191,0)</f>
        <v>6416991</v>
      </c>
      <c r="E40" s="170">
        <f>+ROUND('CE Min'!E191,0)</f>
        <v>7371677</v>
      </c>
      <c r="F40" s="172">
        <f t="shared" si="1"/>
        <v>-954686</v>
      </c>
      <c r="G40" s="151">
        <f t="shared" si="2"/>
        <v>-0.12950730206980041</v>
      </c>
      <c r="H40" s="22"/>
      <c r="I40"/>
      <c r="J40" s="194"/>
      <c r="K40" s="206"/>
    </row>
    <row r="41" spans="1:11">
      <c r="A41" s="14">
        <v>2</v>
      </c>
      <c r="B41" s="15" t="s">
        <v>38</v>
      </c>
      <c r="C41" s="27"/>
      <c r="D41" s="178">
        <f t="shared" ref="D41:E41" si="8">SUM(D42:D58)</f>
        <v>20812105</v>
      </c>
      <c r="E41" s="178">
        <f t="shared" si="8"/>
        <v>9415066</v>
      </c>
      <c r="F41" s="174">
        <f t="shared" si="1"/>
        <v>11397039</v>
      </c>
      <c r="G41" s="152">
        <f t="shared" si="2"/>
        <v>1.2105107919583358</v>
      </c>
      <c r="H41" s="23"/>
      <c r="I41"/>
      <c r="J41" s="160"/>
      <c r="K41" s="206"/>
    </row>
    <row r="42" spans="1:11">
      <c r="A42" s="18"/>
      <c r="B42" s="21" t="s">
        <v>39</v>
      </c>
      <c r="C42" s="19"/>
      <c r="D42" s="170">
        <f>+ROUND('CE Min'!D201,0)</f>
        <v>0</v>
      </c>
      <c r="E42" s="170">
        <f>+ROUND('CE Min'!E201,0)</f>
        <v>0</v>
      </c>
      <c r="F42" s="172">
        <f t="shared" si="1"/>
        <v>0</v>
      </c>
      <c r="G42" s="151"/>
      <c r="H42" s="22"/>
      <c r="I42"/>
      <c r="J42" s="194"/>
      <c r="K42" s="206"/>
    </row>
    <row r="43" spans="1:11">
      <c r="A43" s="18"/>
      <c r="B43" s="21" t="s">
        <v>40</v>
      </c>
      <c r="C43" s="19"/>
      <c r="D43" s="170">
        <f>+ROUND('CE Min'!D209,0)</f>
        <v>0</v>
      </c>
      <c r="E43" s="170">
        <f>+ROUND('CE Min'!E209,0)</f>
        <v>0</v>
      </c>
      <c r="F43" s="172">
        <f t="shared" si="1"/>
        <v>0</v>
      </c>
      <c r="G43" s="151"/>
      <c r="H43" s="22"/>
      <c r="I43"/>
      <c r="J43" s="194"/>
      <c r="K43" s="206"/>
    </row>
    <row r="44" spans="1:11">
      <c r="A44" s="18"/>
      <c r="B44" s="21" t="s">
        <v>41</v>
      </c>
      <c r="C44" s="19"/>
      <c r="D44" s="170">
        <f>+ROUND('CE Min'!D213,0)</f>
        <v>2290</v>
      </c>
      <c r="E44" s="170">
        <f>+ROUND('CE Min'!E213,0)</f>
        <v>238</v>
      </c>
      <c r="F44" s="172">
        <f t="shared" si="1"/>
        <v>2052</v>
      </c>
      <c r="G44" s="151">
        <f t="shared" si="2"/>
        <v>8.6218487394957979</v>
      </c>
      <c r="H44" s="22"/>
      <c r="I44"/>
      <c r="J44" s="194"/>
      <c r="K44" s="206"/>
    </row>
    <row r="45" spans="1:11">
      <c r="A45" s="18"/>
      <c r="B45" s="21" t="s">
        <v>42</v>
      </c>
      <c r="C45" s="19"/>
      <c r="D45" s="170">
        <f>+ROUND('CE Min'!D232,0)</f>
        <v>0</v>
      </c>
      <c r="E45" s="170">
        <f>+ROUND('CE Min'!E232,0)</f>
        <v>0</v>
      </c>
      <c r="F45" s="172">
        <f t="shared" si="1"/>
        <v>0</v>
      </c>
      <c r="G45" s="151"/>
      <c r="H45" s="22"/>
      <c r="I45"/>
      <c r="J45" s="194"/>
      <c r="K45" s="206"/>
    </row>
    <row r="46" spans="1:11">
      <c r="A46" s="18"/>
      <c r="B46" s="21" t="s">
        <v>43</v>
      </c>
      <c r="C46" s="19"/>
      <c r="D46" s="170">
        <f>+ROUND('CE Min'!D238,0)</f>
        <v>0</v>
      </c>
      <c r="E46" s="170">
        <f>+ROUND('CE Min'!E238,0)</f>
        <v>0</v>
      </c>
      <c r="F46" s="172">
        <f t="shared" si="1"/>
        <v>0</v>
      </c>
      <c r="G46" s="151"/>
      <c r="H46" s="22"/>
      <c r="I46"/>
      <c r="J46" s="194"/>
      <c r="K46" s="206"/>
    </row>
    <row r="47" spans="1:11">
      <c r="A47" s="18"/>
      <c r="B47" s="21" t="s">
        <v>44</v>
      </c>
      <c r="C47" s="19"/>
      <c r="D47" s="170">
        <f>+ROUND('CE Min'!D243,0)</f>
        <v>0</v>
      </c>
      <c r="E47" s="170">
        <f>+ROUND('CE Min'!E243,0)</f>
        <v>0</v>
      </c>
      <c r="F47" s="172">
        <f t="shared" si="1"/>
        <v>0</v>
      </c>
      <c r="G47" s="151"/>
      <c r="H47" s="22"/>
      <c r="I47"/>
      <c r="J47" s="194"/>
      <c r="K47" s="206"/>
    </row>
    <row r="48" spans="1:11">
      <c r="A48" s="18"/>
      <c r="B48" s="21" t="s">
        <v>45</v>
      </c>
      <c r="C48" s="19"/>
      <c r="D48" s="170">
        <f>+ROUND('CE Min'!D248,0)</f>
        <v>0</v>
      </c>
      <c r="E48" s="170">
        <f>+ROUND('CE Min'!E248,0)</f>
        <v>0</v>
      </c>
      <c r="F48" s="172">
        <f t="shared" si="1"/>
        <v>0</v>
      </c>
      <c r="G48" s="151"/>
      <c r="H48" s="22"/>
      <c r="I48"/>
      <c r="J48" s="194"/>
      <c r="K48" s="206"/>
    </row>
    <row r="49" spans="1:11">
      <c r="A49" s="18"/>
      <c r="B49" s="21" t="s">
        <v>46</v>
      </c>
      <c r="C49" s="19"/>
      <c r="D49" s="170">
        <f>+ROUND('CE Min'!D258,0)</f>
        <v>0</v>
      </c>
      <c r="E49" s="170">
        <f>+ROUND('CE Min'!E258,0)</f>
        <v>0</v>
      </c>
      <c r="F49" s="172">
        <f t="shared" si="1"/>
        <v>0</v>
      </c>
      <c r="G49" s="151"/>
      <c r="H49" s="22"/>
      <c r="I49"/>
      <c r="J49" s="194"/>
      <c r="K49" s="206"/>
    </row>
    <row r="50" spans="1:11">
      <c r="A50" s="18"/>
      <c r="B50" s="21" t="s">
        <v>47</v>
      </c>
      <c r="C50" s="19"/>
      <c r="D50" s="170">
        <f>+ROUND('CE Min'!D264,0)</f>
        <v>0</v>
      </c>
      <c r="E50" s="170">
        <f>+ROUND('CE Min'!E264,0)</f>
        <v>0</v>
      </c>
      <c r="F50" s="172">
        <f t="shared" si="1"/>
        <v>0</v>
      </c>
      <c r="G50" s="151"/>
      <c r="H50" s="22"/>
      <c r="I50"/>
      <c r="J50" s="194"/>
      <c r="K50" s="206"/>
    </row>
    <row r="51" spans="1:11">
      <c r="A51" s="18"/>
      <c r="B51" s="21" t="s">
        <v>48</v>
      </c>
      <c r="C51" s="19"/>
      <c r="D51" s="170">
        <f>+ROUND('CE Min'!D271,0)</f>
        <v>0</v>
      </c>
      <c r="E51" s="170">
        <f>+ROUND('CE Min'!E271,0)</f>
        <v>0</v>
      </c>
      <c r="F51" s="172">
        <f t="shared" si="1"/>
        <v>0</v>
      </c>
      <c r="G51" s="151"/>
      <c r="H51" s="22"/>
      <c r="I51"/>
      <c r="J51" s="194"/>
      <c r="K51" s="206"/>
    </row>
    <row r="52" spans="1:11">
      <c r="A52" s="18"/>
      <c r="B52" s="21" t="s">
        <v>49</v>
      </c>
      <c r="C52" s="19"/>
      <c r="D52" s="170">
        <f>+ROUND('CE Min'!D277,0)</f>
        <v>0</v>
      </c>
      <c r="E52" s="170">
        <f>+ROUND('CE Min'!E277,0)</f>
        <v>0</v>
      </c>
      <c r="F52" s="172">
        <f t="shared" si="1"/>
        <v>0</v>
      </c>
      <c r="G52" s="151"/>
      <c r="H52" s="22"/>
      <c r="I52"/>
      <c r="J52" s="194"/>
      <c r="K52" s="206"/>
    </row>
    <row r="53" spans="1:11">
      <c r="A53" s="18"/>
      <c r="B53" s="21" t="s">
        <v>50</v>
      </c>
      <c r="C53" s="19"/>
      <c r="D53" s="170">
        <f>+ROUND('CE Min'!D282,0)</f>
        <v>0</v>
      </c>
      <c r="E53" s="170">
        <f>+ROUND('CE Min'!E282,0)</f>
        <v>0</v>
      </c>
      <c r="F53" s="172">
        <f t="shared" si="1"/>
        <v>0</v>
      </c>
      <c r="G53" s="151"/>
      <c r="H53" s="22"/>
      <c r="I53"/>
      <c r="J53" s="194"/>
      <c r="K53" s="206"/>
    </row>
    <row r="54" spans="1:11">
      <c r="A54" s="18"/>
      <c r="B54" s="21" t="s">
        <v>51</v>
      </c>
      <c r="C54" s="19"/>
      <c r="D54" s="170">
        <f>+ROUND('CE Min'!D291,0)</f>
        <v>0</v>
      </c>
      <c r="E54" s="170">
        <f>+ROUND('CE Min'!E291,0)</f>
        <v>4399</v>
      </c>
      <c r="F54" s="172">
        <f t="shared" si="1"/>
        <v>-4399</v>
      </c>
      <c r="G54" s="151">
        <f t="shared" si="2"/>
        <v>-1</v>
      </c>
      <c r="H54" s="22"/>
      <c r="I54"/>
      <c r="J54" s="194"/>
      <c r="K54" s="206"/>
    </row>
    <row r="55" spans="1:11">
      <c r="A55" s="18"/>
      <c r="B55" s="21" t="s">
        <v>52</v>
      </c>
      <c r="C55" s="19"/>
      <c r="D55" s="170">
        <f>+ROUND('CE Min'!D299,0)</f>
        <v>15913358</v>
      </c>
      <c r="E55" s="170">
        <f>+ROUND('CE Min'!E299,0)</f>
        <v>5081023</v>
      </c>
      <c r="F55" s="172">
        <f t="shared" si="1"/>
        <v>10832335</v>
      </c>
      <c r="G55" s="151">
        <f t="shared" si="2"/>
        <v>2.1319200877461095</v>
      </c>
      <c r="H55" s="163"/>
      <c r="I55"/>
      <c r="J55" s="194"/>
      <c r="K55" s="206"/>
    </row>
    <row r="56" spans="1:11">
      <c r="A56" s="18"/>
      <c r="B56" s="21" t="s">
        <v>53</v>
      </c>
      <c r="C56" s="53"/>
      <c r="D56" s="170">
        <f>+ROUND('CE Min'!D307,0)</f>
        <v>2035550</v>
      </c>
      <c r="E56" s="170">
        <f>+ROUND('CE Min'!E307,0)</f>
        <v>2066765</v>
      </c>
      <c r="F56" s="172">
        <f t="shared" si="1"/>
        <v>-31215</v>
      </c>
      <c r="G56" s="151">
        <f t="shared" si="2"/>
        <v>-1.5103313632657801E-2</v>
      </c>
      <c r="H56" s="163"/>
      <c r="I56"/>
      <c r="J56" s="194"/>
      <c r="K56" s="206"/>
    </row>
    <row r="57" spans="1:11">
      <c r="A57" s="18"/>
      <c r="B57" s="21" t="s">
        <v>54</v>
      </c>
      <c r="C57" s="19"/>
      <c r="D57" s="170">
        <f>+ROUND('CE Min'!D321,0)</f>
        <v>2860907</v>
      </c>
      <c r="E57" s="170">
        <f>+ROUND('CE Min'!E321,0)</f>
        <v>2262641</v>
      </c>
      <c r="F57" s="172">
        <f t="shared" si="1"/>
        <v>598266</v>
      </c>
      <c r="G57" s="151">
        <f t="shared" si="2"/>
        <v>0.26441048314779059</v>
      </c>
      <c r="H57" s="22"/>
      <c r="I57"/>
      <c r="J57" s="194"/>
      <c r="K57" s="206"/>
    </row>
    <row r="58" spans="1:11">
      <c r="A58" s="18"/>
      <c r="B58" s="21" t="s">
        <v>55</v>
      </c>
      <c r="C58" s="19"/>
      <c r="D58" s="170">
        <f>+ROUND('CE Min'!D329,0)</f>
        <v>0</v>
      </c>
      <c r="E58" s="170">
        <f>+ROUND('CE Min'!E329,0)</f>
        <v>0</v>
      </c>
      <c r="F58" s="172">
        <f t="shared" si="1"/>
        <v>0</v>
      </c>
      <c r="G58" s="151"/>
      <c r="H58" s="22"/>
      <c r="I58"/>
      <c r="J58" s="194"/>
      <c r="K58" s="206"/>
    </row>
    <row r="59" spans="1:11">
      <c r="A59" s="14">
        <v>3</v>
      </c>
      <c r="B59" s="15" t="s">
        <v>56</v>
      </c>
      <c r="C59" s="27"/>
      <c r="D59" s="178">
        <f t="shared" ref="D59:E59" si="9">SUM(D60:D62)</f>
        <v>18732979</v>
      </c>
      <c r="E59" s="178">
        <f t="shared" si="9"/>
        <v>18651570</v>
      </c>
      <c r="F59" s="174">
        <f t="shared" si="1"/>
        <v>81409</v>
      </c>
      <c r="G59" s="152">
        <f t="shared" si="2"/>
        <v>4.3647264010482764E-3</v>
      </c>
      <c r="H59" s="23"/>
      <c r="I59"/>
      <c r="J59" s="160"/>
      <c r="K59" s="206"/>
    </row>
    <row r="60" spans="1:11">
      <c r="A60" s="18"/>
      <c r="B60" s="21" t="s">
        <v>57</v>
      </c>
      <c r="C60" s="19"/>
      <c r="D60" s="170">
        <f>+ROUND('CE Min'!D331,0)</f>
        <v>18398740</v>
      </c>
      <c r="E60" s="170">
        <f>+ROUND('CE Min'!E331,0)</f>
        <v>17875144</v>
      </c>
      <c r="F60" s="172">
        <f t="shared" si="1"/>
        <v>523596</v>
      </c>
      <c r="G60" s="151">
        <f t="shared" si="2"/>
        <v>2.9291847942595595E-2</v>
      </c>
      <c r="H60" s="22"/>
      <c r="I60"/>
      <c r="J60" s="194"/>
      <c r="K60" s="206"/>
    </row>
    <row r="61" spans="1:11">
      <c r="A61" s="18"/>
      <c r="B61" s="21" t="s">
        <v>58</v>
      </c>
      <c r="C61" s="53"/>
      <c r="D61" s="170">
        <f>+ROUND('CE Min'!D351,0)</f>
        <v>254334</v>
      </c>
      <c r="E61" s="170">
        <f>+ROUND('CE Min'!E351,0)</f>
        <v>722477</v>
      </c>
      <c r="F61" s="172">
        <f t="shared" si="1"/>
        <v>-468143</v>
      </c>
      <c r="G61" s="151">
        <f t="shared" si="2"/>
        <v>-0.64796941632744021</v>
      </c>
      <c r="H61" s="22"/>
      <c r="I61"/>
      <c r="J61" s="194"/>
      <c r="K61" s="206"/>
    </row>
    <row r="62" spans="1:11">
      <c r="A62" s="18"/>
      <c r="B62" s="21" t="s">
        <v>59</v>
      </c>
      <c r="C62" s="19"/>
      <c r="D62" s="170">
        <f>+ROUND('CE Min'!D365,0)</f>
        <v>79905</v>
      </c>
      <c r="E62" s="170">
        <f>+ROUND('CE Min'!E365,0)</f>
        <v>53949</v>
      </c>
      <c r="F62" s="172">
        <f t="shared" si="1"/>
        <v>25956</v>
      </c>
      <c r="G62" s="151">
        <f t="shared" si="2"/>
        <v>0.48112105877773453</v>
      </c>
      <c r="H62" s="22"/>
      <c r="I62"/>
      <c r="J62" s="194"/>
      <c r="K62" s="206"/>
    </row>
    <row r="63" spans="1:11">
      <c r="A63" s="14">
        <v>4</v>
      </c>
      <c r="B63" s="28" t="s">
        <v>60</v>
      </c>
      <c r="C63" s="27"/>
      <c r="D63" s="178">
        <f>+ROUND('CE Min'!D368,0)</f>
        <v>6603</v>
      </c>
      <c r="E63" s="178">
        <f>+ROUND('CE Min'!E368,0)</f>
        <v>1064</v>
      </c>
      <c r="F63" s="174">
        <f t="shared" si="1"/>
        <v>5539</v>
      </c>
      <c r="G63" s="152">
        <f t="shared" si="2"/>
        <v>5.2058270676691727</v>
      </c>
      <c r="H63" s="23"/>
      <c r="I63"/>
      <c r="J63" s="160"/>
      <c r="K63" s="206"/>
    </row>
    <row r="64" spans="1:11">
      <c r="A64" s="14">
        <v>5</v>
      </c>
      <c r="B64" s="15" t="s">
        <v>61</v>
      </c>
      <c r="C64" s="15"/>
      <c r="D64" s="178">
        <f>+ROUND('CE Min'!D376,0)</f>
        <v>2931093</v>
      </c>
      <c r="E64" s="178">
        <f>+ROUND('CE Min'!E376,0)</f>
        <v>3100079</v>
      </c>
      <c r="F64" s="174">
        <f t="shared" si="1"/>
        <v>-168986</v>
      </c>
      <c r="G64" s="152">
        <f t="shared" si="2"/>
        <v>-5.4510223771716784E-2</v>
      </c>
      <c r="H64" s="23"/>
      <c r="I64"/>
      <c r="J64" s="160"/>
      <c r="K64" s="206"/>
    </row>
    <row r="65" spans="1:11">
      <c r="A65" s="14">
        <v>6</v>
      </c>
      <c r="B65" s="15" t="s">
        <v>62</v>
      </c>
      <c r="C65" s="27"/>
      <c r="D65" s="178">
        <f t="shared" ref="D65:E65" si="10">SUM(D66:D70)</f>
        <v>12193030</v>
      </c>
      <c r="E65" s="178">
        <f t="shared" si="10"/>
        <v>10525335</v>
      </c>
      <c r="F65" s="174">
        <f t="shared" si="1"/>
        <v>1667695</v>
      </c>
      <c r="G65" s="152">
        <f t="shared" si="2"/>
        <v>0.15844578818631427</v>
      </c>
      <c r="H65" s="23"/>
      <c r="I65"/>
      <c r="J65" s="160"/>
      <c r="K65" s="206"/>
    </row>
    <row r="66" spans="1:11">
      <c r="A66" s="14"/>
      <c r="B66" s="19" t="s">
        <v>63</v>
      </c>
      <c r="C66" s="24"/>
      <c r="D66" s="170">
        <f>+ROUND('CE Min'!D389,0)</f>
        <v>697348</v>
      </c>
      <c r="E66" s="170">
        <f>+ROUND('CE Min'!E389,0)</f>
        <v>264175</v>
      </c>
      <c r="F66" s="172">
        <f t="shared" si="1"/>
        <v>433173</v>
      </c>
      <c r="G66" s="151">
        <f t="shared" si="2"/>
        <v>1.639719882653544</v>
      </c>
      <c r="H66" s="22"/>
      <c r="I66"/>
      <c r="J66" s="194"/>
      <c r="K66" s="206"/>
    </row>
    <row r="67" spans="1:11">
      <c r="A67" s="14"/>
      <c r="B67" s="19" t="s">
        <v>64</v>
      </c>
      <c r="C67" s="24"/>
      <c r="D67" s="170">
        <f>+ROUND('CE Min'!D393,0)</f>
        <v>856235</v>
      </c>
      <c r="E67" s="170">
        <f>+ROUND('CE Min'!E393,0)</f>
        <v>820434</v>
      </c>
      <c r="F67" s="172">
        <f t="shared" si="1"/>
        <v>35801</v>
      </c>
      <c r="G67" s="151">
        <f t="shared" si="2"/>
        <v>4.3636660596708572E-2</v>
      </c>
      <c r="H67" s="22"/>
      <c r="I67"/>
      <c r="J67" s="194"/>
      <c r="K67" s="206"/>
    </row>
    <row r="68" spans="1:11">
      <c r="A68" s="14"/>
      <c r="B68" s="19" t="s">
        <v>65</v>
      </c>
      <c r="C68" s="24"/>
      <c r="D68" s="170">
        <f>+ROUND('CE Min'!D397,0)</f>
        <v>2497349</v>
      </c>
      <c r="E68" s="170">
        <f>+ROUND('CE Min'!E397,0)</f>
        <v>2211876</v>
      </c>
      <c r="F68" s="172">
        <f t="shared" si="1"/>
        <v>285473</v>
      </c>
      <c r="G68" s="151">
        <f t="shared" si="2"/>
        <v>0.12906374498389603</v>
      </c>
      <c r="H68" s="22"/>
      <c r="I68"/>
      <c r="J68" s="194"/>
      <c r="K68" s="206"/>
    </row>
    <row r="69" spans="1:11">
      <c r="A69" s="18"/>
      <c r="B69" s="19" t="s">
        <v>66</v>
      </c>
      <c r="C69" s="24"/>
      <c r="D69" s="170">
        <f>+ROUND('CE Min'!D402+'CE Min'!D411+'CE Min'!D420,0)</f>
        <v>2777378</v>
      </c>
      <c r="E69" s="170">
        <f>+ROUND('CE Min'!E402+'CE Min'!E411+'CE Min'!E420,0)</f>
        <v>2532440</v>
      </c>
      <c r="F69" s="172">
        <f t="shared" si="1"/>
        <v>244938</v>
      </c>
      <c r="G69" s="151">
        <f t="shared" si="2"/>
        <v>9.6720159214038634E-2</v>
      </c>
      <c r="H69" s="22"/>
      <c r="I69"/>
      <c r="J69" s="194"/>
      <c r="K69" s="206"/>
    </row>
    <row r="70" spans="1:11">
      <c r="A70" s="18"/>
      <c r="B70" s="19" t="s">
        <v>67</v>
      </c>
      <c r="C70" s="24"/>
      <c r="D70" s="170">
        <f>+ROUND('CE Min'!D406+'CE Min'!D415+'CE Min'!D424,0)</f>
        <v>5364720</v>
      </c>
      <c r="E70" s="170">
        <f>+ROUND('CE Min'!E406+'CE Min'!E415+'CE Min'!E424,0)</f>
        <v>4696410</v>
      </c>
      <c r="F70" s="172">
        <f t="shared" si="1"/>
        <v>668310</v>
      </c>
      <c r="G70" s="151">
        <f t="shared" si="2"/>
        <v>0.14230231176579558</v>
      </c>
      <c r="H70" s="22"/>
      <c r="I70"/>
      <c r="J70" s="194"/>
    </row>
    <row r="71" spans="1:11">
      <c r="A71" s="14">
        <v>7</v>
      </c>
      <c r="B71" s="28" t="s">
        <v>68</v>
      </c>
      <c r="C71" s="15"/>
      <c r="D71" s="178">
        <f>+ROUND('CE Min'!D428,0)</f>
        <v>846055</v>
      </c>
      <c r="E71" s="178">
        <f>+ROUND('CE Min'!E428,0)</f>
        <v>942069</v>
      </c>
      <c r="F71" s="174">
        <f t="shared" si="1"/>
        <v>-96014</v>
      </c>
      <c r="G71" s="152">
        <f t="shared" si="2"/>
        <v>-0.10191822467356425</v>
      </c>
      <c r="H71" s="23"/>
      <c r="I71"/>
      <c r="J71" s="160"/>
    </row>
    <row r="72" spans="1:11">
      <c r="A72" s="14">
        <v>8</v>
      </c>
      <c r="B72" s="28" t="s">
        <v>69</v>
      </c>
      <c r="C72" s="15"/>
      <c r="D72" s="178">
        <f t="shared" ref="D72:E72" si="11">SUM(D73:D75)</f>
        <v>188434</v>
      </c>
      <c r="E72" s="178">
        <f t="shared" si="11"/>
        <v>165261</v>
      </c>
      <c r="F72" s="174">
        <f t="shared" si="1"/>
        <v>23173</v>
      </c>
      <c r="G72" s="152">
        <f t="shared" si="2"/>
        <v>0.14022062071511124</v>
      </c>
      <c r="H72" s="23"/>
      <c r="I72"/>
      <c r="J72" s="160"/>
    </row>
    <row r="73" spans="1:11">
      <c r="A73" s="14"/>
      <c r="B73" s="19" t="s">
        <v>70</v>
      </c>
      <c r="C73" s="24"/>
      <c r="D73" s="170">
        <f>+ROUND('CE Min'!D437,0)</f>
        <v>3728</v>
      </c>
      <c r="E73" s="170">
        <f>+ROUND('CE Min'!E437,0)</f>
        <v>3905</v>
      </c>
      <c r="F73" s="172">
        <f t="shared" si="1"/>
        <v>-177</v>
      </c>
      <c r="G73" s="151">
        <f t="shared" si="2"/>
        <v>-4.5326504481434056E-2</v>
      </c>
      <c r="H73" s="22"/>
      <c r="I73"/>
      <c r="J73" s="194"/>
    </row>
    <row r="74" spans="1:11">
      <c r="A74" s="14"/>
      <c r="B74" s="19" t="s">
        <v>71</v>
      </c>
      <c r="C74" s="24"/>
      <c r="D74" s="170">
        <f>+ROUND('CE Min'!D439,0)</f>
        <v>0</v>
      </c>
      <c r="E74" s="170">
        <f>+ROUND('CE Min'!E439,0)</f>
        <v>0</v>
      </c>
      <c r="F74" s="172">
        <f t="shared" ref="F74:F120" si="12">+D74-E74</f>
        <v>0</v>
      </c>
      <c r="G74" s="151"/>
      <c r="H74" s="22"/>
      <c r="I74"/>
      <c r="J74" s="194"/>
    </row>
    <row r="75" spans="1:11">
      <c r="A75" s="18"/>
      <c r="B75" s="19" t="s">
        <v>72</v>
      </c>
      <c r="C75" s="24"/>
      <c r="D75" s="170">
        <f>+ROUND('CE Min'!D442,0)</f>
        <v>184706</v>
      </c>
      <c r="E75" s="170">
        <f>+ROUND('CE Min'!E442,0)</f>
        <v>161356</v>
      </c>
      <c r="F75" s="172">
        <f t="shared" si="12"/>
        <v>23350</v>
      </c>
      <c r="G75" s="151">
        <f t="shared" ref="G75:G120" si="13">+F75/E75</f>
        <v>0.1447110736508094</v>
      </c>
      <c r="H75" s="22"/>
      <c r="I75"/>
      <c r="J75" s="194"/>
    </row>
    <row r="76" spans="1:11">
      <c r="A76" s="14">
        <v>9</v>
      </c>
      <c r="B76" s="28" t="s">
        <v>73</v>
      </c>
      <c r="C76" s="15"/>
      <c r="D76" s="178">
        <f>+ROUND('CE Min'!D443,0)</f>
        <v>0</v>
      </c>
      <c r="E76" s="178">
        <f>+ROUND('CE Min'!E443,0)</f>
        <v>0</v>
      </c>
      <c r="F76" s="174">
        <f t="shared" si="12"/>
        <v>0</v>
      </c>
      <c r="G76" s="152"/>
      <c r="H76" s="23"/>
      <c r="I76"/>
      <c r="J76" s="160"/>
    </row>
    <row r="77" spans="1:11">
      <c r="A77" s="14">
        <v>10</v>
      </c>
      <c r="B77" s="15" t="s">
        <v>74</v>
      </c>
      <c r="C77" s="27"/>
      <c r="D77" s="178">
        <f t="shared" ref="D77:E77" si="14">SUM(D78:D79)</f>
        <v>-12636</v>
      </c>
      <c r="E77" s="178">
        <f t="shared" si="14"/>
        <v>-12369420</v>
      </c>
      <c r="F77" s="174">
        <f t="shared" si="12"/>
        <v>12356784</v>
      </c>
      <c r="G77" s="152">
        <f t="shared" si="13"/>
        <v>-0.99897844846403472</v>
      </c>
      <c r="H77" s="23"/>
      <c r="I77"/>
      <c r="J77" s="160"/>
    </row>
    <row r="78" spans="1:11">
      <c r="A78" s="14"/>
      <c r="B78" s="19" t="s">
        <v>75</v>
      </c>
      <c r="C78" s="24"/>
      <c r="D78" s="170">
        <f>+ROUND('CE Min'!D447,0)</f>
        <v>-185721</v>
      </c>
      <c r="E78" s="170">
        <f>+ROUND('CE Min'!E447,0)</f>
        <v>-12775531</v>
      </c>
      <c r="F78" s="172">
        <f t="shared" si="12"/>
        <v>12589810</v>
      </c>
      <c r="G78" s="151">
        <f t="shared" si="13"/>
        <v>-0.98546275689049634</v>
      </c>
      <c r="H78" s="22"/>
      <c r="I78"/>
      <c r="J78" s="194"/>
    </row>
    <row r="79" spans="1:11">
      <c r="A79" s="14"/>
      <c r="B79" s="19" t="s">
        <v>76</v>
      </c>
      <c r="C79" s="24"/>
      <c r="D79" s="170">
        <f>+ROUND('CE Min'!D456,0)</f>
        <v>173085</v>
      </c>
      <c r="E79" s="170">
        <f>+ROUND('CE Min'!E456,0)</f>
        <v>406111</v>
      </c>
      <c r="F79" s="172">
        <f t="shared" si="12"/>
        <v>-233026</v>
      </c>
      <c r="G79" s="151">
        <f t="shared" si="13"/>
        <v>-0.57379878900103665</v>
      </c>
      <c r="H79" s="22"/>
      <c r="I79"/>
      <c r="J79" s="194"/>
    </row>
    <row r="80" spans="1:11">
      <c r="A80" s="14">
        <v>11</v>
      </c>
      <c r="B80" s="15" t="s">
        <v>77</v>
      </c>
      <c r="C80" s="27"/>
      <c r="D80" s="178">
        <f t="shared" ref="D80:E80" si="15">SUM(D81:D84)</f>
        <v>51031003</v>
      </c>
      <c r="E80" s="178">
        <f t="shared" si="15"/>
        <v>35290825</v>
      </c>
      <c r="F80" s="174">
        <f t="shared" si="12"/>
        <v>15740178</v>
      </c>
      <c r="G80" s="152">
        <f t="shared" si="13"/>
        <v>0.44601331932591542</v>
      </c>
      <c r="H80" s="23"/>
      <c r="I80"/>
      <c r="J80" s="160"/>
    </row>
    <row r="81" spans="1:10">
      <c r="A81" s="14"/>
      <c r="B81" s="19" t="s">
        <v>78</v>
      </c>
      <c r="C81" s="16"/>
      <c r="D81" s="170">
        <f>+ROUND('CE Min'!D464,0)</f>
        <v>17163207</v>
      </c>
      <c r="E81" s="170">
        <f>+ROUND('CE Min'!E464,0)</f>
        <v>14801743</v>
      </c>
      <c r="F81" s="172">
        <f t="shared" si="12"/>
        <v>2361464</v>
      </c>
      <c r="G81" s="151">
        <f t="shared" si="13"/>
        <v>0.15953958935782089</v>
      </c>
      <c r="H81" s="22"/>
      <c r="I81"/>
      <c r="J81" s="194"/>
    </row>
    <row r="82" spans="1:10">
      <c r="A82" s="14"/>
      <c r="B82" s="19" t="s">
        <v>79</v>
      </c>
      <c r="C82" s="16"/>
      <c r="D82" s="170">
        <f>+ROUND('CE Min'!D472,0)</f>
        <v>0</v>
      </c>
      <c r="E82" s="170">
        <f>+ROUND('CE Min'!E472,0)</f>
        <v>0</v>
      </c>
      <c r="F82" s="172">
        <f t="shared" si="12"/>
        <v>0</v>
      </c>
      <c r="G82" s="151"/>
      <c r="H82" s="22"/>
      <c r="I82"/>
      <c r="J82" s="194"/>
    </row>
    <row r="83" spans="1:10">
      <c r="A83" s="14"/>
      <c r="B83" s="19" t="s">
        <v>80</v>
      </c>
      <c r="C83" s="16"/>
      <c r="D83" s="170">
        <f>+ROUND('CE Min'!D473,0)</f>
        <v>33433716</v>
      </c>
      <c r="E83" s="170">
        <f>+ROUND('CE Min'!E473,0)</f>
        <v>17878009</v>
      </c>
      <c r="F83" s="172">
        <f t="shared" si="12"/>
        <v>15555707</v>
      </c>
      <c r="G83" s="151">
        <f t="shared" si="13"/>
        <v>0.87010287331212333</v>
      </c>
      <c r="H83" s="22"/>
      <c r="I83"/>
      <c r="J83" s="194"/>
    </row>
    <row r="84" spans="1:10">
      <c r="A84" s="14"/>
      <c r="B84" s="19" t="s">
        <v>81</v>
      </c>
      <c r="C84" s="16"/>
      <c r="D84" s="170">
        <f>+ROUND('CE Min'!D480,0)</f>
        <v>434080</v>
      </c>
      <c r="E84" s="170">
        <f>+ROUND('CE Min'!E480,0)</f>
        <v>2611073</v>
      </c>
      <c r="F84" s="172">
        <f t="shared" si="12"/>
        <v>-2176993</v>
      </c>
      <c r="G84" s="151">
        <f t="shared" si="13"/>
        <v>-0.83375416926298118</v>
      </c>
      <c r="H84" s="22"/>
      <c r="I84"/>
      <c r="J84" s="194"/>
    </row>
    <row r="85" spans="1:10">
      <c r="A85" s="213" t="s">
        <v>82</v>
      </c>
      <c r="B85" s="214"/>
      <c r="C85" s="214"/>
      <c r="D85" s="175">
        <f t="shared" ref="D85:E85" si="16">D38+D41+D63+D64+D65+D71+D72+D76+D77+D80+D59</f>
        <v>572031850</v>
      </c>
      <c r="E85" s="175">
        <f t="shared" si="16"/>
        <v>509088911</v>
      </c>
      <c r="F85" s="176">
        <f t="shared" si="12"/>
        <v>62942939</v>
      </c>
      <c r="G85" s="144">
        <f t="shared" si="13"/>
        <v>0.12363840115150337</v>
      </c>
      <c r="H85" s="23"/>
      <c r="I85"/>
      <c r="J85" s="160"/>
    </row>
    <row r="86" spans="1:10" ht="13.5" thickBot="1">
      <c r="A86" s="29"/>
      <c r="B86" s="30"/>
      <c r="C86" s="31"/>
      <c r="D86" s="179"/>
      <c r="E86" s="179"/>
      <c r="F86" s="180"/>
      <c r="G86" s="153"/>
      <c r="H86" s="20"/>
      <c r="I86"/>
      <c r="J86" s="160"/>
    </row>
    <row r="87" spans="1:10" ht="13.5" thickBot="1">
      <c r="A87" s="215" t="s">
        <v>83</v>
      </c>
      <c r="B87" s="216"/>
      <c r="C87" s="216"/>
      <c r="D87" s="181">
        <f t="shared" ref="D87:E87" si="17">+D35-D85</f>
        <v>8164814</v>
      </c>
      <c r="E87" s="181">
        <f t="shared" si="17"/>
        <v>-967868</v>
      </c>
      <c r="F87" s="176"/>
      <c r="G87" s="144"/>
      <c r="H87" s="23"/>
      <c r="I87"/>
      <c r="J87" s="160"/>
    </row>
    <row r="88" spans="1:10">
      <c r="A88" s="32"/>
      <c r="B88" s="33"/>
      <c r="C88" s="34"/>
      <c r="D88" s="177"/>
      <c r="E88" s="177"/>
      <c r="F88" s="172"/>
      <c r="G88" s="151"/>
      <c r="H88" s="20"/>
      <c r="I88"/>
      <c r="J88" s="194"/>
    </row>
    <row r="89" spans="1:10">
      <c r="A89" s="14" t="s">
        <v>84</v>
      </c>
      <c r="B89" s="15" t="s">
        <v>85</v>
      </c>
      <c r="C89" s="27"/>
      <c r="D89" s="178"/>
      <c r="E89" s="178"/>
      <c r="F89" s="174"/>
      <c r="G89" s="152"/>
      <c r="H89" s="20"/>
      <c r="I89"/>
      <c r="J89" s="160"/>
    </row>
    <row r="90" spans="1:10">
      <c r="A90" s="35"/>
      <c r="B90" s="5" t="s">
        <v>86</v>
      </c>
      <c r="C90" s="36" t="s">
        <v>87</v>
      </c>
      <c r="D90" s="173">
        <f>+ROUND('CE Min'!D493+'CE Min'!D497,0)</f>
        <v>1</v>
      </c>
      <c r="E90" s="173">
        <f>+ROUND('CE Min'!E493+'CE Min'!E497,0)</f>
        <v>0</v>
      </c>
      <c r="F90" s="174">
        <f t="shared" si="12"/>
        <v>1</v>
      </c>
      <c r="G90" s="152"/>
      <c r="H90" s="23"/>
      <c r="I90"/>
      <c r="J90" s="160"/>
    </row>
    <row r="91" spans="1:10">
      <c r="A91" s="35"/>
      <c r="B91" s="5" t="s">
        <v>88</v>
      </c>
      <c r="C91" s="36" t="s">
        <v>89</v>
      </c>
      <c r="D91" s="173">
        <f>+ROUND('CE Min'!D503+'CE Min'!D507,0)</f>
        <v>0</v>
      </c>
      <c r="E91" s="173">
        <f>+ROUND('CE Min'!E503+'CE Min'!E507,0)</f>
        <v>0</v>
      </c>
      <c r="F91" s="174">
        <f t="shared" si="12"/>
        <v>0</v>
      </c>
      <c r="G91" s="152"/>
      <c r="H91" s="23"/>
      <c r="I91"/>
      <c r="J91" s="160"/>
    </row>
    <row r="92" spans="1:10">
      <c r="A92" s="213" t="s">
        <v>90</v>
      </c>
      <c r="B92" s="214"/>
      <c r="C92" s="214" t="s">
        <v>91</v>
      </c>
      <c r="D92" s="175">
        <f t="shared" ref="D92:E92" si="18">+D90-D91</f>
        <v>1</v>
      </c>
      <c r="E92" s="175">
        <f t="shared" si="18"/>
        <v>0</v>
      </c>
      <c r="F92" s="176">
        <f t="shared" si="12"/>
        <v>1</v>
      </c>
      <c r="G92" s="144"/>
      <c r="H92" s="23"/>
      <c r="I92"/>
      <c r="J92" s="160"/>
    </row>
    <row r="93" spans="1:10">
      <c r="A93" s="35"/>
      <c r="B93" s="37"/>
      <c r="C93" s="15"/>
      <c r="D93" s="178"/>
      <c r="E93" s="178"/>
      <c r="F93" s="174"/>
      <c r="G93" s="152"/>
      <c r="H93" s="20"/>
      <c r="I93"/>
      <c r="J93" s="160"/>
    </row>
    <row r="94" spans="1:10">
      <c r="A94" s="14" t="s">
        <v>92</v>
      </c>
      <c r="B94" s="15" t="s">
        <v>93</v>
      </c>
      <c r="C94" s="15"/>
      <c r="D94" s="178"/>
      <c r="E94" s="178"/>
      <c r="F94" s="174"/>
      <c r="G94" s="152"/>
      <c r="H94" s="20"/>
      <c r="I94"/>
      <c r="J94" s="160"/>
    </row>
    <row r="95" spans="1:10">
      <c r="A95" s="35"/>
      <c r="B95" s="5" t="s">
        <v>86</v>
      </c>
      <c r="C95" s="15" t="s">
        <v>94</v>
      </c>
      <c r="D95" s="173">
        <f>+ROUND(+'CE Min'!D512,0)</f>
        <v>0</v>
      </c>
      <c r="E95" s="173">
        <f>+ROUND(+'CE Min'!E512,0)</f>
        <v>0</v>
      </c>
      <c r="F95" s="174">
        <f t="shared" si="12"/>
        <v>0</v>
      </c>
      <c r="G95" s="152"/>
      <c r="H95" s="20"/>
      <c r="I95"/>
      <c r="J95" s="160"/>
    </row>
    <row r="96" spans="1:10">
      <c r="A96" s="35"/>
      <c r="B96" s="5" t="s">
        <v>88</v>
      </c>
      <c r="C96" s="15" t="s">
        <v>95</v>
      </c>
      <c r="D96" s="173">
        <f>+ROUND(+'CE Min'!D513,0)</f>
        <v>0</v>
      </c>
      <c r="E96" s="173">
        <f>+ROUND(+'CE Min'!E513,0)</f>
        <v>0</v>
      </c>
      <c r="F96" s="174">
        <f t="shared" si="12"/>
        <v>0</v>
      </c>
      <c r="G96" s="152"/>
      <c r="H96" s="20"/>
      <c r="I96"/>
      <c r="J96" s="160"/>
    </row>
    <row r="97" spans="1:10">
      <c r="A97" s="213" t="s">
        <v>96</v>
      </c>
      <c r="B97" s="214"/>
      <c r="C97" s="214" t="s">
        <v>91</v>
      </c>
      <c r="D97" s="175">
        <f t="shared" ref="D97:E97" si="19">D95-D96</f>
        <v>0</v>
      </c>
      <c r="E97" s="175">
        <f t="shared" si="19"/>
        <v>0</v>
      </c>
      <c r="F97" s="176">
        <f t="shared" si="12"/>
        <v>0</v>
      </c>
      <c r="G97" s="144"/>
      <c r="H97" s="23"/>
      <c r="I97"/>
      <c r="J97" s="160"/>
    </row>
    <row r="98" spans="1:10">
      <c r="A98" s="35"/>
      <c r="B98" s="37"/>
      <c r="C98" s="15"/>
      <c r="D98" s="182"/>
      <c r="E98" s="182"/>
      <c r="F98" s="183"/>
      <c r="G98" s="154"/>
      <c r="H98" s="20"/>
      <c r="I98"/>
      <c r="J98" s="160"/>
    </row>
    <row r="99" spans="1:10">
      <c r="A99" s="14" t="s">
        <v>97</v>
      </c>
      <c r="B99" s="15" t="s">
        <v>98</v>
      </c>
      <c r="C99" s="27"/>
      <c r="D99" s="182"/>
      <c r="E99" s="182"/>
      <c r="F99" s="183"/>
      <c r="G99" s="154"/>
      <c r="H99" s="20"/>
      <c r="I99"/>
      <c r="J99" s="160"/>
    </row>
    <row r="100" spans="1:10">
      <c r="A100" s="14"/>
      <c r="B100" s="5">
        <v>1</v>
      </c>
      <c r="C100" s="36" t="s">
        <v>99</v>
      </c>
      <c r="D100" s="182">
        <f t="shared" ref="D100:E100" si="20">SUM(D101:D102)</f>
        <v>1280692</v>
      </c>
      <c r="E100" s="182">
        <f t="shared" si="20"/>
        <v>5135792</v>
      </c>
      <c r="F100" s="183">
        <f t="shared" si="12"/>
        <v>-3855100</v>
      </c>
      <c r="G100" s="154">
        <f t="shared" si="13"/>
        <v>-0.75063398206157883</v>
      </c>
      <c r="H100" s="23"/>
      <c r="I100"/>
      <c r="J100" s="160"/>
    </row>
    <row r="101" spans="1:10">
      <c r="A101" s="14"/>
      <c r="B101" s="5"/>
      <c r="C101" s="19" t="s">
        <v>100</v>
      </c>
      <c r="D101" s="170">
        <f>+ROUND(+'CE Min'!D517,0)</f>
        <v>0</v>
      </c>
      <c r="E101" s="170">
        <f>+ROUND(+'CE Min'!E517,0)</f>
        <v>0</v>
      </c>
      <c r="F101" s="167">
        <f t="shared" si="12"/>
        <v>0</v>
      </c>
      <c r="G101" s="155"/>
      <c r="H101" s="22"/>
      <c r="I101"/>
      <c r="J101" s="194"/>
    </row>
    <row r="102" spans="1:10">
      <c r="A102" s="14"/>
      <c r="B102" s="5"/>
      <c r="C102" s="19" t="s">
        <v>101</v>
      </c>
      <c r="D102" s="170">
        <f>+ROUND('CE Min'!D518,0)+2</f>
        <v>1280692</v>
      </c>
      <c r="E102" s="170">
        <f>+ROUND('CE Min'!E518,0)</f>
        <v>5135792</v>
      </c>
      <c r="F102" s="167">
        <f t="shared" si="12"/>
        <v>-3855100</v>
      </c>
      <c r="G102" s="155">
        <f t="shared" si="13"/>
        <v>-0.75063398206157883</v>
      </c>
      <c r="H102" s="22"/>
      <c r="I102"/>
      <c r="J102" s="194"/>
    </row>
    <row r="103" spans="1:10">
      <c r="A103" s="14"/>
      <c r="B103" s="5">
        <v>2</v>
      </c>
      <c r="C103" s="15" t="s">
        <v>102</v>
      </c>
      <c r="D103" s="182">
        <f t="shared" ref="D103:E103" si="21">SUM(D104:D105)</f>
        <v>7311194</v>
      </c>
      <c r="E103" s="182">
        <f t="shared" si="21"/>
        <v>181512</v>
      </c>
      <c r="F103" s="183">
        <f t="shared" si="12"/>
        <v>7129682</v>
      </c>
      <c r="G103" s="154">
        <f t="shared" si="13"/>
        <v>39.279397505399089</v>
      </c>
      <c r="H103" s="23"/>
      <c r="I103"/>
      <c r="J103" s="194"/>
    </row>
    <row r="104" spans="1:10">
      <c r="A104" s="14"/>
      <c r="B104" s="5"/>
      <c r="C104" s="19" t="s">
        <v>103</v>
      </c>
      <c r="D104" s="170">
        <f>+ROUND(+'CE Min'!D543,0)</f>
        <v>406</v>
      </c>
      <c r="E104" s="170">
        <f>+ROUND(+'CE Min'!E543,0)</f>
        <v>0</v>
      </c>
      <c r="F104" s="184">
        <f t="shared" si="12"/>
        <v>406</v>
      </c>
      <c r="G104" s="156"/>
      <c r="H104" s="22"/>
      <c r="I104"/>
      <c r="J104" s="194"/>
    </row>
    <row r="105" spans="1:10">
      <c r="A105" s="14"/>
      <c r="B105" s="5"/>
      <c r="C105" s="19" t="s">
        <v>104</v>
      </c>
      <c r="D105" s="170">
        <f>+ROUND('CE Min'!D544,0)</f>
        <v>7310788</v>
      </c>
      <c r="E105" s="170">
        <f>+ROUND('CE Min'!E544,0)+1</f>
        <v>181512</v>
      </c>
      <c r="F105" s="184">
        <f t="shared" si="12"/>
        <v>7129276</v>
      </c>
      <c r="G105" s="156">
        <f t="shared" si="13"/>
        <v>39.277160738683946</v>
      </c>
      <c r="H105" s="805"/>
      <c r="I105"/>
      <c r="J105" s="194"/>
    </row>
    <row r="106" spans="1:10">
      <c r="A106" s="213" t="s">
        <v>105</v>
      </c>
      <c r="B106" s="214"/>
      <c r="C106" s="214" t="s">
        <v>106</v>
      </c>
      <c r="D106" s="185">
        <f t="shared" ref="D106:E106" si="22">D100-D103</f>
        <v>-6030502</v>
      </c>
      <c r="E106" s="185">
        <f t="shared" si="22"/>
        <v>4954280</v>
      </c>
      <c r="F106" s="186">
        <f t="shared" si="12"/>
        <v>-10984782</v>
      </c>
      <c r="G106" s="145">
        <f t="shared" si="13"/>
        <v>-2.217230758051624</v>
      </c>
      <c r="H106" s="23"/>
      <c r="I106"/>
      <c r="J106" s="160"/>
    </row>
    <row r="107" spans="1:10" ht="13.5" thickBot="1">
      <c r="A107" s="38"/>
      <c r="B107" s="39"/>
      <c r="C107" s="40"/>
      <c r="D107" s="187"/>
      <c r="E107" s="187"/>
      <c r="F107" s="188"/>
      <c r="G107" s="157"/>
      <c r="H107" s="20"/>
      <c r="I107"/>
      <c r="J107" s="160"/>
    </row>
    <row r="108" spans="1:10" ht="13.5" thickBot="1">
      <c r="A108" s="215" t="s">
        <v>107</v>
      </c>
      <c r="B108" s="216"/>
      <c r="C108" s="216"/>
      <c r="D108" s="189">
        <f t="shared" ref="D108:E108" si="23">D87+D92+D97+D106</f>
        <v>2134313</v>
      </c>
      <c r="E108" s="189">
        <f t="shared" si="23"/>
        <v>3986412</v>
      </c>
      <c r="F108" s="190">
        <f t="shared" si="12"/>
        <v>-1852099</v>
      </c>
      <c r="G108" s="146">
        <f t="shared" si="13"/>
        <v>-0.46460300641278424</v>
      </c>
      <c r="H108" s="23"/>
      <c r="I108"/>
      <c r="J108" s="160"/>
    </row>
    <row r="109" spans="1:10">
      <c r="A109" s="18"/>
      <c r="B109" s="25"/>
      <c r="C109" s="41"/>
      <c r="D109" s="191"/>
      <c r="E109" s="191"/>
      <c r="F109" s="184"/>
      <c r="G109" s="156"/>
      <c r="H109" s="20"/>
      <c r="I109"/>
      <c r="J109" s="194"/>
    </row>
    <row r="110" spans="1:10">
      <c r="A110" s="14" t="s">
        <v>108</v>
      </c>
      <c r="B110" s="15" t="s">
        <v>109</v>
      </c>
      <c r="C110" s="27"/>
      <c r="D110" s="182"/>
      <c r="E110" s="182"/>
      <c r="F110" s="183"/>
      <c r="G110" s="154"/>
      <c r="H110" s="20"/>
      <c r="I110"/>
      <c r="J110" s="160"/>
    </row>
    <row r="111" spans="1:10">
      <c r="A111" s="14"/>
      <c r="B111" s="5" t="s">
        <v>86</v>
      </c>
      <c r="C111" s="36" t="s">
        <v>110</v>
      </c>
      <c r="D111" s="182">
        <f t="shared" ref="D111:E111" si="24">SUM(D112:D115)</f>
        <v>1008499</v>
      </c>
      <c r="E111" s="182">
        <f t="shared" si="24"/>
        <v>944994</v>
      </c>
      <c r="F111" s="183">
        <f t="shared" si="12"/>
        <v>63505</v>
      </c>
      <c r="G111" s="154">
        <f t="shared" si="13"/>
        <v>6.7201484877152662E-2</v>
      </c>
      <c r="H111" s="23"/>
      <c r="I111"/>
      <c r="J111" s="160"/>
    </row>
    <row r="112" spans="1:10">
      <c r="A112" s="18"/>
      <c r="B112" s="21"/>
      <c r="C112" s="19" t="s">
        <v>111</v>
      </c>
      <c r="D112" s="170">
        <f>+ROUND(+'CE Min'!D578,0)</f>
        <v>826377</v>
      </c>
      <c r="E112" s="170">
        <f>+ROUND(+'CE Min'!E578,0)</f>
        <v>710793</v>
      </c>
      <c r="F112" s="167">
        <f t="shared" si="12"/>
        <v>115584</v>
      </c>
      <c r="G112" s="155">
        <f t="shared" si="13"/>
        <v>0.16261274379460686</v>
      </c>
      <c r="H112" s="22"/>
      <c r="I112"/>
      <c r="J112" s="194"/>
    </row>
    <row r="113" spans="1:10">
      <c r="A113" s="18"/>
      <c r="B113" s="21"/>
      <c r="C113" s="19" t="s">
        <v>112</v>
      </c>
      <c r="D113" s="170">
        <f>+ROUND(+'CE Min'!D579,0)</f>
        <v>182122</v>
      </c>
      <c r="E113" s="170">
        <f>+ROUND(+'CE Min'!E579,0)</f>
        <v>234201</v>
      </c>
      <c r="F113" s="167">
        <f t="shared" si="12"/>
        <v>-52079</v>
      </c>
      <c r="G113" s="155">
        <f t="shared" si="13"/>
        <v>-0.2223688199452607</v>
      </c>
      <c r="H113" s="22"/>
      <c r="I113"/>
      <c r="J113" s="194"/>
    </row>
    <row r="114" spans="1:10">
      <c r="A114" s="18"/>
      <c r="B114" s="21"/>
      <c r="C114" s="19" t="s">
        <v>113</v>
      </c>
      <c r="D114" s="170">
        <f>+ROUND(+'CE Min'!D580,0)</f>
        <v>0</v>
      </c>
      <c r="E114" s="170">
        <f>+ROUND(+'CE Min'!E580,0)</f>
        <v>0</v>
      </c>
      <c r="F114" s="167">
        <f t="shared" si="12"/>
        <v>0</v>
      </c>
      <c r="G114" s="155"/>
      <c r="H114" s="22"/>
      <c r="I114"/>
      <c r="J114" s="194"/>
    </row>
    <row r="115" spans="1:10">
      <c r="A115" s="18"/>
      <c r="B115" s="21"/>
      <c r="C115" s="19" t="s">
        <v>114</v>
      </c>
      <c r="D115" s="170">
        <f>+ROUND(+'CE Min'!D581,0)</f>
        <v>0</v>
      </c>
      <c r="E115" s="170">
        <f>+ROUND(+'CE Min'!E581,0)</f>
        <v>0</v>
      </c>
      <c r="F115" s="167">
        <f t="shared" si="12"/>
        <v>0</v>
      </c>
      <c r="G115" s="155"/>
      <c r="H115" s="22"/>
      <c r="I115"/>
      <c r="J115" s="194"/>
    </row>
    <row r="116" spans="1:10">
      <c r="A116" s="14"/>
      <c r="B116" s="5" t="s">
        <v>88</v>
      </c>
      <c r="C116" s="15" t="s">
        <v>115</v>
      </c>
      <c r="D116" s="178">
        <f>+ROUND(+'CE Min'!D582,0)</f>
        <v>166457</v>
      </c>
      <c r="E116" s="178">
        <f>+ROUND(+'CE Min'!E582,0)</f>
        <v>166457</v>
      </c>
      <c r="F116" s="183">
        <f t="shared" si="12"/>
        <v>0</v>
      </c>
      <c r="G116" s="154">
        <f t="shared" si="13"/>
        <v>0</v>
      </c>
      <c r="H116" s="23"/>
      <c r="I116"/>
      <c r="J116" s="160"/>
    </row>
    <row r="117" spans="1:10">
      <c r="A117" s="14"/>
      <c r="B117" s="5" t="s">
        <v>116</v>
      </c>
      <c r="C117" s="42" t="s">
        <v>117</v>
      </c>
      <c r="D117" s="178">
        <f>+ROUND(+'CE Min'!D585,0)</f>
        <v>0</v>
      </c>
      <c r="E117" s="178">
        <f>+ROUND(+'CE Min'!E585,0)</f>
        <v>0</v>
      </c>
      <c r="F117" s="192">
        <f t="shared" si="12"/>
        <v>0</v>
      </c>
      <c r="G117" s="158"/>
      <c r="H117" s="20"/>
      <c r="I117"/>
      <c r="J117" s="160"/>
    </row>
    <row r="118" spans="1:10">
      <c r="A118" s="213" t="s">
        <v>118</v>
      </c>
      <c r="B118" s="214"/>
      <c r="C118" s="214"/>
      <c r="D118" s="185">
        <f t="shared" ref="D118:E118" si="25">D111+D116+D117</f>
        <v>1174956</v>
      </c>
      <c r="E118" s="185">
        <f t="shared" si="25"/>
        <v>1111451</v>
      </c>
      <c r="F118" s="186">
        <f t="shared" si="12"/>
        <v>63505</v>
      </c>
      <c r="G118" s="145">
        <f t="shared" si="13"/>
        <v>5.7137021785035956E-2</v>
      </c>
      <c r="H118" s="23"/>
      <c r="I118"/>
      <c r="J118" s="160"/>
    </row>
    <row r="119" spans="1:10">
      <c r="A119" s="18"/>
      <c r="B119" s="25"/>
      <c r="C119" s="16"/>
      <c r="D119" s="184"/>
      <c r="E119" s="184"/>
      <c r="F119" s="184"/>
      <c r="G119" s="156"/>
      <c r="H119" s="20"/>
      <c r="I119"/>
    </row>
    <row r="120" spans="1:10" ht="13.5" thickBot="1">
      <c r="A120" s="43" t="s">
        <v>119</v>
      </c>
      <c r="B120" s="44"/>
      <c r="C120" s="45"/>
      <c r="D120" s="193">
        <f t="shared" ref="D120:E120" si="26">D108-D118</f>
        <v>959357</v>
      </c>
      <c r="E120" s="193">
        <f t="shared" si="26"/>
        <v>2874961</v>
      </c>
      <c r="F120" s="193">
        <f t="shared" si="12"/>
        <v>-1915604</v>
      </c>
      <c r="G120" s="159">
        <f t="shared" si="13"/>
        <v>-0.66630608206511321</v>
      </c>
      <c r="H120" s="23"/>
      <c r="I120"/>
    </row>
    <row r="122" spans="1:10">
      <c r="A122" s="46"/>
      <c r="B122" s="46"/>
      <c r="C122" s="46"/>
      <c r="D122" s="47"/>
      <c r="E122" s="47"/>
      <c r="F122" s="47"/>
      <c r="G122" s="47"/>
      <c r="H122" s="47"/>
      <c r="I122" s="292"/>
      <c r="J122" s="48"/>
    </row>
    <row r="125" spans="1:10">
      <c r="C125" s="46"/>
      <c r="D125" s="47"/>
      <c r="E125" s="47"/>
      <c r="F125" s="47"/>
      <c r="G125" s="47"/>
      <c r="I125" s="293"/>
      <c r="J125" s="49"/>
    </row>
    <row r="130" spans="9:10">
      <c r="I130" s="294"/>
      <c r="J130" s="3"/>
    </row>
  </sheetData>
  <mergeCells count="5">
    <mergeCell ref="D2:G2"/>
    <mergeCell ref="A4:C4"/>
    <mergeCell ref="F4:G4"/>
    <mergeCell ref="D4:D5"/>
    <mergeCell ref="E4:E5"/>
  </mergeCells>
  <printOptions horizontalCentered="1"/>
  <pageMargins left="0" right="0" top="0.19685039370078741" bottom="0.19685039370078741" header="0.31496062992125984" footer="0.31496062992125984"/>
  <pageSetup paperSize="8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20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891" t="s">
        <v>1935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</row>
    <row r="2" spans="1:12" ht="13.5" thickBot="1"/>
    <row r="3" spans="1:12" ht="16.899999999999999" customHeight="1" thickTop="1">
      <c r="A3" s="894" t="s">
        <v>1838</v>
      </c>
      <c r="B3" s="273"/>
      <c r="C3" s="896" t="s">
        <v>1839</v>
      </c>
      <c r="D3" s="892" t="s">
        <v>1830</v>
      </c>
      <c r="E3" s="892" t="s">
        <v>1831</v>
      </c>
      <c r="F3" s="893" t="s">
        <v>1832</v>
      </c>
      <c r="G3" s="893"/>
      <c r="H3" s="892" t="s">
        <v>1826</v>
      </c>
      <c r="I3" s="892" t="s">
        <v>1827</v>
      </c>
      <c r="J3" s="892" t="s">
        <v>1828</v>
      </c>
      <c r="K3" s="892" t="s">
        <v>1824</v>
      </c>
      <c r="L3" s="892" t="s">
        <v>1825</v>
      </c>
    </row>
    <row r="4" spans="1:12" ht="93" customHeight="1">
      <c r="A4" s="895"/>
      <c r="B4" s="274"/>
      <c r="C4" s="897"/>
      <c r="D4" s="892"/>
      <c r="E4" s="892"/>
      <c r="F4" s="892" t="s">
        <v>1833</v>
      </c>
      <c r="G4" s="892" t="s">
        <v>1834</v>
      </c>
      <c r="H4" s="892"/>
      <c r="I4" s="892"/>
      <c r="J4" s="892"/>
      <c r="K4" s="892"/>
      <c r="L4" s="892"/>
    </row>
    <row r="5" spans="1:12" ht="15.75">
      <c r="A5" s="226" t="s">
        <v>1840</v>
      </c>
      <c r="B5" s="275"/>
      <c r="C5" s="898"/>
      <c r="D5" s="892"/>
      <c r="E5" s="892"/>
      <c r="F5" s="892"/>
      <c r="G5" s="892"/>
      <c r="H5" s="892"/>
      <c r="I5" s="892"/>
      <c r="J5" s="892"/>
      <c r="K5" s="892"/>
      <c r="L5" s="892"/>
    </row>
    <row r="6" spans="1:12" ht="25.5">
      <c r="A6" s="227" t="s">
        <v>1841</v>
      </c>
      <c r="B6" s="276" t="s">
        <v>1842</v>
      </c>
      <c r="C6" s="255" t="s">
        <v>1843</v>
      </c>
      <c r="D6" s="261" t="e">
        <f>+'CE Min'!#REF!</f>
        <v>#REF!</v>
      </c>
      <c r="E6" s="261" t="e">
        <f>+'CE Min'!#REF!</f>
        <v>#REF!</v>
      </c>
      <c r="F6" s="261" t="e">
        <f>+'CE Min'!#REF!</f>
        <v>#REF!</v>
      </c>
      <c r="G6" s="261" t="e">
        <f>+'CE Min'!#REF!</f>
        <v>#REF!</v>
      </c>
      <c r="H6" s="261" t="e">
        <f>+'CE Min'!#REF!</f>
        <v>#REF!</v>
      </c>
      <c r="I6" s="261" t="e">
        <f>+'CE Min'!#REF!</f>
        <v>#REF!</v>
      </c>
      <c r="J6" s="261" t="e">
        <f>+'CE Min'!#REF!</f>
        <v>#REF!</v>
      </c>
      <c r="K6" s="261" t="e">
        <f>+'CE Min'!#REF!</f>
        <v>#REF!</v>
      </c>
      <c r="L6" s="261" t="e">
        <f>+'CE Min'!#REF!</f>
        <v>#REF!</v>
      </c>
    </row>
    <row r="7" spans="1:12" ht="25.5">
      <c r="A7" s="228" t="s">
        <v>1844</v>
      </c>
      <c r="B7" s="277">
        <f>+B6+1</f>
        <v>2</v>
      </c>
      <c r="C7" s="256" t="s">
        <v>183</v>
      </c>
      <c r="D7" s="261" t="e">
        <f>+'CE Min'!#REF!</f>
        <v>#REF!</v>
      </c>
      <c r="E7" s="261" t="e">
        <f>+'CE Min'!#REF!</f>
        <v>#REF!</v>
      </c>
      <c r="F7" s="261" t="e">
        <f>+'CE Min'!#REF!</f>
        <v>#REF!</v>
      </c>
      <c r="G7" s="261" t="e">
        <f>+'CE Min'!#REF!</f>
        <v>#REF!</v>
      </c>
      <c r="H7" s="261" t="e">
        <f>+'CE Min'!#REF!</f>
        <v>#REF!</v>
      </c>
      <c r="I7" s="261" t="e">
        <f>+'CE Min'!#REF!</f>
        <v>#REF!</v>
      </c>
      <c r="J7" s="261" t="e">
        <f>+'CE Min'!#REF!</f>
        <v>#REF!</v>
      </c>
      <c r="K7" s="261" t="e">
        <f>+'CE Min'!#REF!</f>
        <v>#REF!</v>
      </c>
      <c r="L7" s="261" t="e">
        <f>+'CE Min'!#REF!</f>
        <v>#REF!</v>
      </c>
    </row>
    <row r="8" spans="1:12">
      <c r="A8" s="228" t="s">
        <v>1845</v>
      </c>
      <c r="B8" s="277">
        <f t="shared" ref="B8:B18" si="0">+B7+1</f>
        <v>3</v>
      </c>
      <c r="C8" s="256" t="s">
        <v>144</v>
      </c>
      <c r="D8" s="261" t="e">
        <f>+'CE Min'!#REF!</f>
        <v>#REF!</v>
      </c>
      <c r="E8" s="261" t="e">
        <f>+'CE Min'!#REF!</f>
        <v>#REF!</v>
      </c>
      <c r="F8" s="261" t="e">
        <f>+'CE Min'!#REF!</f>
        <v>#REF!</v>
      </c>
      <c r="G8" s="261" t="e">
        <f>+'CE Min'!#REF!</f>
        <v>#REF!</v>
      </c>
      <c r="H8" s="261" t="e">
        <f>+'CE Min'!#REF!</f>
        <v>#REF!</v>
      </c>
      <c r="I8" s="261" t="e">
        <f>+'CE Min'!#REF!</f>
        <v>#REF!</v>
      </c>
      <c r="J8" s="261" t="e">
        <f>+'CE Min'!#REF!</f>
        <v>#REF!</v>
      </c>
      <c r="K8" s="261" t="e">
        <f>+'CE Min'!#REF!</f>
        <v>#REF!</v>
      </c>
      <c r="L8" s="261" t="e">
        <f>+'CE Min'!#REF!</f>
        <v>#REF!</v>
      </c>
    </row>
    <row r="9" spans="1:12">
      <c r="A9" s="228" t="s">
        <v>1846</v>
      </c>
      <c r="B9" s="277">
        <f t="shared" si="0"/>
        <v>4</v>
      </c>
      <c r="C9" s="256" t="s">
        <v>145</v>
      </c>
      <c r="D9" s="261" t="e">
        <f>+'CE Min'!#REF!</f>
        <v>#REF!</v>
      </c>
      <c r="E9" s="261" t="e">
        <f>+'CE Min'!#REF!</f>
        <v>#REF!</v>
      </c>
      <c r="F9" s="261" t="e">
        <f>+'CE Min'!#REF!</f>
        <v>#REF!</v>
      </c>
      <c r="G9" s="261" t="e">
        <f>+'CE Min'!#REF!</f>
        <v>#REF!</v>
      </c>
      <c r="H9" s="261" t="e">
        <f>+'CE Min'!#REF!</f>
        <v>#REF!</v>
      </c>
      <c r="I9" s="261" t="e">
        <f>+'CE Min'!#REF!</f>
        <v>#REF!</v>
      </c>
      <c r="J9" s="261" t="e">
        <f>+'CE Min'!#REF!</f>
        <v>#REF!</v>
      </c>
      <c r="K9" s="261" t="e">
        <f>+'CE Min'!#REF!</f>
        <v>#REF!</v>
      </c>
      <c r="L9" s="261" t="e">
        <f>+'CE Min'!#REF!</f>
        <v>#REF!</v>
      </c>
    </row>
    <row r="10" spans="1:12" ht="25.5">
      <c r="A10" s="229" t="s">
        <v>1847</v>
      </c>
      <c r="B10" s="277">
        <f t="shared" si="0"/>
        <v>5</v>
      </c>
      <c r="C10" s="256" t="s">
        <v>186</v>
      </c>
      <c r="D10" s="261" t="e">
        <f>+'CE Min'!#REF!</f>
        <v>#REF!</v>
      </c>
      <c r="E10" s="261" t="e">
        <f>+'CE Min'!#REF!</f>
        <v>#REF!</v>
      </c>
      <c r="F10" s="261" t="e">
        <f>+'CE Min'!#REF!</f>
        <v>#REF!</v>
      </c>
      <c r="G10" s="261" t="e">
        <f>+'CE Min'!#REF!</f>
        <v>#REF!</v>
      </c>
      <c r="H10" s="261" t="e">
        <f>+'CE Min'!#REF!</f>
        <v>#REF!</v>
      </c>
      <c r="I10" s="261" t="e">
        <f>+'CE Min'!#REF!</f>
        <v>#REF!</v>
      </c>
      <c r="J10" s="261" t="e">
        <f>+'CE Min'!#REF!</f>
        <v>#REF!</v>
      </c>
      <c r="K10" s="261" t="e">
        <f>+'CE Min'!#REF!</f>
        <v>#REF!</v>
      </c>
      <c r="L10" s="261" t="e">
        <f>+'CE Min'!#REF!</f>
        <v>#REF!</v>
      </c>
    </row>
    <row r="11" spans="1:12" ht="25.5">
      <c r="A11" s="229" t="s">
        <v>1848</v>
      </c>
      <c r="B11" s="277">
        <f t="shared" si="0"/>
        <v>6</v>
      </c>
      <c r="C11" s="256" t="s">
        <v>1849</v>
      </c>
      <c r="D11" s="261" t="e">
        <f>+'CE Min'!#REF!-'ce art. 44'!D8-'ce art. 44'!D9+'CE Min'!#REF!+'CE Min'!#REF!</f>
        <v>#REF!</v>
      </c>
      <c r="E11" s="261" t="e">
        <f>+'CE Min'!#REF!-'ce art. 44'!E8-'ce art. 44'!E9+'CE Min'!#REF!+'CE Min'!#REF!</f>
        <v>#REF!</v>
      </c>
      <c r="F11" s="261" t="e">
        <f>+'CE Min'!#REF!-'ce art. 44'!F8-'ce art. 44'!F9+'CE Min'!#REF!+'CE Min'!#REF!</f>
        <v>#REF!</v>
      </c>
      <c r="G11" s="261" t="e">
        <f>+'CE Min'!#REF!-'ce art. 44'!G8-'ce art. 44'!G9+'CE Min'!#REF!+'CE Min'!#REF!</f>
        <v>#REF!</v>
      </c>
      <c r="H11" s="261" t="e">
        <f>+'CE Min'!#REF!-'ce art. 44'!H8-'ce art. 44'!H9+'CE Min'!#REF!+'CE Min'!#REF!</f>
        <v>#REF!</v>
      </c>
      <c r="I11" s="261" t="e">
        <f>+'CE Min'!#REF!-'ce art. 44'!I8-'ce art. 44'!I9+'CE Min'!#REF!+'CE Min'!#REF!</f>
        <v>#REF!</v>
      </c>
      <c r="J11" s="261" t="e">
        <f>+'CE Min'!#REF!-'ce art. 44'!J8-'ce art. 44'!J9+'CE Min'!#REF!+'CE Min'!#REF!</f>
        <v>#REF!</v>
      </c>
      <c r="K11" s="261" t="e">
        <f>+'CE Min'!#REF!-'ce art. 44'!K8-'ce art. 44'!K9+'CE Min'!#REF!+'CE Min'!#REF!</f>
        <v>#REF!</v>
      </c>
      <c r="L11" s="261" t="e">
        <f>+'CE Min'!#REF!-'ce art. 44'!L8-'ce art. 44'!L9+'CE Min'!#REF!+'CE Min'!#REF!</f>
        <v>#REF!</v>
      </c>
    </row>
    <row r="12" spans="1:12">
      <c r="A12" s="229" t="s">
        <v>1850</v>
      </c>
      <c r="B12" s="277">
        <f t="shared" si="0"/>
        <v>7</v>
      </c>
      <c r="C12" s="256" t="s">
        <v>364</v>
      </c>
      <c r="D12" s="261" t="e">
        <f>+'CE Min'!#REF!</f>
        <v>#REF!</v>
      </c>
      <c r="E12" s="261" t="e">
        <f>+'CE Min'!#REF!</f>
        <v>#REF!</v>
      </c>
      <c r="F12" s="261" t="e">
        <f>+'CE Min'!#REF!</f>
        <v>#REF!</v>
      </c>
      <c r="G12" s="261" t="e">
        <f>+'CE Min'!#REF!</f>
        <v>#REF!</v>
      </c>
      <c r="H12" s="261" t="e">
        <f>+'CE Min'!#REF!</f>
        <v>#REF!</v>
      </c>
      <c r="I12" s="261" t="e">
        <f>+'CE Min'!#REF!</f>
        <v>#REF!</v>
      </c>
      <c r="J12" s="261" t="e">
        <f>+'CE Min'!#REF!</f>
        <v>#REF!</v>
      </c>
      <c r="K12" s="261" t="e">
        <f>+'CE Min'!#REF!</f>
        <v>#REF!</v>
      </c>
      <c r="L12" s="261" t="e">
        <f>+'CE Min'!#REF!</f>
        <v>#REF!</v>
      </c>
    </row>
    <row r="13" spans="1:12">
      <c r="A13" s="229" t="s">
        <v>1851</v>
      </c>
      <c r="B13" s="277">
        <f t="shared" si="0"/>
        <v>8</v>
      </c>
      <c r="C13" s="257" t="s">
        <v>341</v>
      </c>
      <c r="D13" s="261" t="e">
        <f>+'CE Min'!#REF!</f>
        <v>#REF!</v>
      </c>
      <c r="E13" s="261" t="e">
        <f>+'CE Min'!#REF!</f>
        <v>#REF!</v>
      </c>
      <c r="F13" s="261" t="e">
        <f>+'CE Min'!#REF!</f>
        <v>#REF!</v>
      </c>
      <c r="G13" s="261" t="e">
        <f>+'CE Min'!#REF!</f>
        <v>#REF!</v>
      </c>
      <c r="H13" s="261" t="e">
        <f>+'CE Min'!#REF!</f>
        <v>#REF!</v>
      </c>
      <c r="I13" s="261" t="e">
        <f>+'CE Min'!#REF!</f>
        <v>#REF!</v>
      </c>
      <c r="J13" s="261" t="e">
        <f>+'CE Min'!#REF!</f>
        <v>#REF!</v>
      </c>
      <c r="K13" s="261" t="e">
        <f>+'CE Min'!#REF!</f>
        <v>#REF!</v>
      </c>
      <c r="L13" s="261" t="e">
        <f>+'CE Min'!#REF!</f>
        <v>#REF!</v>
      </c>
    </row>
    <row r="14" spans="1:12" ht="66.599999999999994" customHeight="1">
      <c r="A14" s="229" t="s">
        <v>1852</v>
      </c>
      <c r="B14" s="277">
        <f t="shared" si="0"/>
        <v>9</v>
      </c>
      <c r="C14" s="258" t="s">
        <v>1853</v>
      </c>
      <c r="D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261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230" t="s">
        <v>1854</v>
      </c>
      <c r="B15" s="277">
        <f t="shared" si="0"/>
        <v>10</v>
      </c>
      <c r="C15" s="256" t="s">
        <v>185</v>
      </c>
      <c r="D15" s="261" t="e">
        <f>+'CE Min'!#REF!</f>
        <v>#REF!</v>
      </c>
      <c r="E15" s="261" t="e">
        <f>+'CE Min'!#REF!</f>
        <v>#REF!</v>
      </c>
      <c r="F15" s="261" t="e">
        <f>+'CE Min'!#REF!</f>
        <v>#REF!</v>
      </c>
      <c r="G15" s="261" t="e">
        <f>+'CE Min'!#REF!</f>
        <v>#REF!</v>
      </c>
      <c r="H15" s="261" t="e">
        <f>+'CE Min'!#REF!</f>
        <v>#REF!</v>
      </c>
      <c r="I15" s="261" t="e">
        <f>+'CE Min'!#REF!</f>
        <v>#REF!</v>
      </c>
      <c r="J15" s="261" t="e">
        <f>+'CE Min'!#REF!</f>
        <v>#REF!</v>
      </c>
      <c r="K15" s="261" t="e">
        <f>+'CE Min'!#REF!</f>
        <v>#REF!</v>
      </c>
      <c r="L15" s="261" t="e">
        <f>+'CE Min'!#REF!</f>
        <v>#REF!</v>
      </c>
    </row>
    <row r="16" spans="1:12">
      <c r="A16" s="229" t="s">
        <v>1855</v>
      </c>
      <c r="B16" s="277">
        <f t="shared" si="0"/>
        <v>11</v>
      </c>
      <c r="C16" s="256" t="s">
        <v>1856</v>
      </c>
      <c r="D16" s="261" t="e">
        <f>+'CE Min'!#REF!+'CE Min'!#REF!</f>
        <v>#REF!</v>
      </c>
      <c r="E16" s="261" t="e">
        <f>+'CE Min'!#REF!+'CE Min'!#REF!</f>
        <v>#REF!</v>
      </c>
      <c r="F16" s="261" t="e">
        <f>+'CE Min'!#REF!+'CE Min'!#REF!</f>
        <v>#REF!</v>
      </c>
      <c r="G16" s="261" t="e">
        <f>+'CE Min'!#REF!+'CE Min'!#REF!</f>
        <v>#REF!</v>
      </c>
      <c r="H16" s="261" t="e">
        <f>+'CE Min'!#REF!+'CE Min'!#REF!</f>
        <v>#REF!</v>
      </c>
      <c r="I16" s="261" t="e">
        <f>+'CE Min'!#REF!+'CE Min'!#REF!</f>
        <v>#REF!</v>
      </c>
      <c r="J16" s="261" t="e">
        <f>+'CE Min'!#REF!+'CE Min'!#REF!</f>
        <v>#REF!</v>
      </c>
      <c r="K16" s="261" t="e">
        <f>+'CE Min'!#REF!+'CE Min'!#REF!</f>
        <v>#REF!</v>
      </c>
      <c r="L16" s="261" t="e">
        <f>+'CE Min'!#REF!+'CE Min'!#REF!</f>
        <v>#REF!</v>
      </c>
    </row>
    <row r="17" spans="1:12">
      <c r="A17" s="231" t="s">
        <v>1857</v>
      </c>
      <c r="B17" s="277">
        <f>+B16+1</f>
        <v>12</v>
      </c>
      <c r="C17" s="258" t="s">
        <v>198</v>
      </c>
      <c r="D17" s="261" t="e">
        <f>+'CE Min'!#REF!</f>
        <v>#REF!</v>
      </c>
      <c r="E17" s="261" t="e">
        <f>+'CE Min'!#REF!</f>
        <v>#REF!</v>
      </c>
      <c r="F17" s="261" t="e">
        <f>+'CE Min'!#REF!</f>
        <v>#REF!</v>
      </c>
      <c r="G17" s="261" t="e">
        <f>+'CE Min'!#REF!</f>
        <v>#REF!</v>
      </c>
      <c r="H17" s="261" t="e">
        <f>+'CE Min'!#REF!</f>
        <v>#REF!</v>
      </c>
      <c r="I17" s="261" t="e">
        <f>+'CE Min'!#REF!</f>
        <v>#REF!</v>
      </c>
      <c r="J17" s="261" t="e">
        <f>+'CE Min'!#REF!</f>
        <v>#REF!</v>
      </c>
      <c r="K17" s="261" t="e">
        <f>+'CE Min'!#REF!</f>
        <v>#REF!</v>
      </c>
      <c r="L17" s="261" t="e">
        <f>+'CE Min'!#REF!</f>
        <v>#REF!</v>
      </c>
    </row>
    <row r="18" spans="1:12" ht="65.650000000000006" customHeight="1">
      <c r="A18" s="232" t="s">
        <v>1858</v>
      </c>
      <c r="B18" s="278">
        <f t="shared" si="0"/>
        <v>13</v>
      </c>
      <c r="C18" s="259" t="s">
        <v>1859</v>
      </c>
      <c r="D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26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233" t="s">
        <v>1860</v>
      </c>
      <c r="B19" s="279" t="s">
        <v>1861</v>
      </c>
      <c r="C19" s="260"/>
      <c r="D19" s="261" t="e">
        <f>D6+D7+D8+D9+D10+D11+D12+D13+D14+D15+D16+D17+D18</f>
        <v>#REF!</v>
      </c>
      <c r="E19" s="261" t="e">
        <f t="shared" ref="E19:L19" si="1">E6+E7+E8+E9+E10+E11+E12+E13+E14+E15+E16+E17+E18</f>
        <v>#REF!</v>
      </c>
      <c r="F19" s="261" t="e">
        <f t="shared" si="1"/>
        <v>#REF!</v>
      </c>
      <c r="G19" s="261" t="e">
        <f t="shared" si="1"/>
        <v>#REF!</v>
      </c>
      <c r="H19" s="261" t="e">
        <f t="shared" si="1"/>
        <v>#REF!</v>
      </c>
      <c r="I19" s="261" t="e">
        <f t="shared" si="1"/>
        <v>#REF!</v>
      </c>
      <c r="J19" s="261" t="e">
        <f t="shared" si="1"/>
        <v>#REF!</v>
      </c>
      <c r="K19" s="261" t="e">
        <f t="shared" si="1"/>
        <v>#REF!</v>
      </c>
      <c r="L19" s="261" t="e">
        <f t="shared" si="1"/>
        <v>#REF!</v>
      </c>
    </row>
    <row r="20" spans="1:12" ht="13.5" thickTop="1">
      <c r="A20" s="234"/>
      <c r="B20" s="280"/>
      <c r="C20" s="235"/>
    </row>
    <row r="21" spans="1:12" ht="13.5" thickBot="1">
      <c r="A21" s="236"/>
      <c r="B21" s="281"/>
      <c r="C21" s="237"/>
    </row>
    <row r="22" spans="1:12" ht="23.65" customHeight="1" thickTop="1">
      <c r="A22" s="894" t="s">
        <v>1862</v>
      </c>
      <c r="B22" s="273"/>
      <c r="C22" s="899" t="s">
        <v>1839</v>
      </c>
      <c r="D22" s="892" t="s">
        <v>1830</v>
      </c>
      <c r="E22" s="892" t="s">
        <v>1831</v>
      </c>
      <c r="F22" s="893" t="s">
        <v>1832</v>
      </c>
      <c r="G22" s="893"/>
      <c r="H22" s="892" t="s">
        <v>1826</v>
      </c>
      <c r="I22" s="892" t="s">
        <v>1827</v>
      </c>
      <c r="J22" s="892" t="s">
        <v>1828</v>
      </c>
      <c r="K22" s="892" t="s">
        <v>1824</v>
      </c>
      <c r="L22" s="892" t="s">
        <v>1825</v>
      </c>
    </row>
    <row r="23" spans="1:12" ht="28.9" customHeight="1">
      <c r="A23" s="895"/>
      <c r="B23" s="274"/>
      <c r="C23" s="900"/>
      <c r="D23" s="892"/>
      <c r="E23" s="892"/>
      <c r="F23" s="892" t="s">
        <v>1833</v>
      </c>
      <c r="G23" s="892" t="s">
        <v>1834</v>
      </c>
      <c r="H23" s="892"/>
      <c r="I23" s="892"/>
      <c r="J23" s="892"/>
      <c r="K23" s="892"/>
      <c r="L23" s="892"/>
    </row>
    <row r="24" spans="1:12" ht="28.15" customHeight="1">
      <c r="A24" s="226" t="s">
        <v>1840</v>
      </c>
      <c r="B24" s="282"/>
      <c r="C24" s="901"/>
      <c r="D24" s="892"/>
      <c r="E24" s="892"/>
      <c r="F24" s="892"/>
      <c r="G24" s="892"/>
      <c r="H24" s="892"/>
      <c r="I24" s="892"/>
      <c r="J24" s="892"/>
      <c r="K24" s="892"/>
      <c r="L24" s="892"/>
    </row>
    <row r="25" spans="1:12" ht="22.5">
      <c r="A25" s="238" t="s">
        <v>1863</v>
      </c>
      <c r="B25" s="283" t="s">
        <v>1864</v>
      </c>
      <c r="C25" s="262"/>
      <c r="D25" s="261" t="e">
        <f>+D26+D27+D28+D29+D30</f>
        <v>#REF!</v>
      </c>
      <c r="E25" s="261" t="e">
        <f t="shared" ref="E25:L25" si="2">+E26+E27+E28+E29+E30</f>
        <v>#REF!</v>
      </c>
      <c r="F25" s="261" t="e">
        <f t="shared" si="2"/>
        <v>#REF!</v>
      </c>
      <c r="G25" s="261" t="e">
        <f t="shared" si="2"/>
        <v>#REF!</v>
      </c>
      <c r="H25" s="261" t="e">
        <f t="shared" si="2"/>
        <v>#REF!</v>
      </c>
      <c r="I25" s="261" t="e">
        <f t="shared" si="2"/>
        <v>#REF!</v>
      </c>
      <c r="J25" s="261" t="e">
        <f t="shared" si="2"/>
        <v>#REF!</v>
      </c>
      <c r="K25" s="261" t="e">
        <f t="shared" si="2"/>
        <v>#REF!</v>
      </c>
      <c r="L25" s="261" t="e">
        <f t="shared" si="2"/>
        <v>#REF!</v>
      </c>
    </row>
    <row r="26" spans="1:12">
      <c r="A26" s="239" t="s">
        <v>1865</v>
      </c>
      <c r="B26" s="240" t="s">
        <v>1866</v>
      </c>
      <c r="C26" s="263" t="s">
        <v>905</v>
      </c>
      <c r="D26" s="261" t="e">
        <f>+'CE Min'!#REF!</f>
        <v>#REF!</v>
      </c>
      <c r="E26" s="261" t="e">
        <f>+'CE Min'!#REF!</f>
        <v>#REF!</v>
      </c>
      <c r="F26" s="261" t="e">
        <f>+'CE Min'!#REF!</f>
        <v>#REF!</v>
      </c>
      <c r="G26" s="261" t="e">
        <f>+'CE Min'!#REF!</f>
        <v>#REF!</v>
      </c>
      <c r="H26" s="261" t="e">
        <f>+'CE Min'!#REF!</f>
        <v>#REF!</v>
      </c>
      <c r="I26" s="261" t="e">
        <f>+'CE Min'!#REF!</f>
        <v>#REF!</v>
      </c>
      <c r="J26" s="261" t="e">
        <f>+'CE Min'!#REF!</f>
        <v>#REF!</v>
      </c>
      <c r="K26" s="261" t="e">
        <f>+'CE Min'!#REF!</f>
        <v>#REF!</v>
      </c>
      <c r="L26" s="261" t="e">
        <f>+'CE Min'!#REF!</f>
        <v>#REF!</v>
      </c>
    </row>
    <row r="27" spans="1:12">
      <c r="A27" s="239" t="s">
        <v>1867</v>
      </c>
      <c r="B27" s="240" t="s">
        <v>1868</v>
      </c>
      <c r="C27" s="263" t="s">
        <v>921</v>
      </c>
      <c r="D27" s="261" t="e">
        <f>+'CE Min'!#REF!</f>
        <v>#REF!</v>
      </c>
      <c r="E27" s="261" t="e">
        <f>+'CE Min'!#REF!</f>
        <v>#REF!</v>
      </c>
      <c r="F27" s="261" t="e">
        <f>+'CE Min'!#REF!</f>
        <v>#REF!</v>
      </c>
      <c r="G27" s="261" t="e">
        <f>+'CE Min'!#REF!</f>
        <v>#REF!</v>
      </c>
      <c r="H27" s="261" t="e">
        <f>+'CE Min'!#REF!</f>
        <v>#REF!</v>
      </c>
      <c r="I27" s="261" t="e">
        <f>+'CE Min'!#REF!</f>
        <v>#REF!</v>
      </c>
      <c r="J27" s="261" t="e">
        <f>+'CE Min'!#REF!</f>
        <v>#REF!</v>
      </c>
      <c r="K27" s="261" t="e">
        <f>+'CE Min'!#REF!</f>
        <v>#REF!</v>
      </c>
      <c r="L27" s="261" t="e">
        <f>+'CE Min'!#REF!</f>
        <v>#REF!</v>
      </c>
    </row>
    <row r="28" spans="1:12">
      <c r="A28" s="239" t="s">
        <v>1869</v>
      </c>
      <c r="B28" s="240" t="s">
        <v>1870</v>
      </c>
      <c r="C28" s="263" t="s">
        <v>932</v>
      </c>
      <c r="D28" s="261" t="e">
        <f>+'CE Min'!#REF!</f>
        <v>#REF!</v>
      </c>
      <c r="E28" s="261" t="e">
        <f>+'CE Min'!#REF!</f>
        <v>#REF!</v>
      </c>
      <c r="F28" s="261" t="e">
        <f>+'CE Min'!#REF!</f>
        <v>#REF!</v>
      </c>
      <c r="G28" s="261" t="e">
        <f>+'CE Min'!#REF!</f>
        <v>#REF!</v>
      </c>
      <c r="H28" s="261" t="e">
        <f>+'CE Min'!#REF!</f>
        <v>#REF!</v>
      </c>
      <c r="I28" s="261" t="e">
        <f>+'CE Min'!#REF!</f>
        <v>#REF!</v>
      </c>
      <c r="J28" s="261" t="e">
        <f>+'CE Min'!#REF!</f>
        <v>#REF!</v>
      </c>
      <c r="K28" s="261" t="e">
        <f>+'CE Min'!#REF!</f>
        <v>#REF!</v>
      </c>
      <c r="L28" s="261" t="e">
        <f>+'CE Min'!#REF!</f>
        <v>#REF!</v>
      </c>
    </row>
    <row r="29" spans="1:12">
      <c r="A29" s="239" t="s">
        <v>1871</v>
      </c>
      <c r="B29" s="240" t="s">
        <v>1872</v>
      </c>
      <c r="C29" s="263" t="s">
        <v>943</v>
      </c>
      <c r="D29" s="261" t="e">
        <f>+'CE Min'!#REF!</f>
        <v>#REF!</v>
      </c>
      <c r="E29" s="261" t="e">
        <f>+'CE Min'!#REF!</f>
        <v>#REF!</v>
      </c>
      <c r="F29" s="261" t="e">
        <f>+'CE Min'!#REF!</f>
        <v>#REF!</v>
      </c>
      <c r="G29" s="261" t="e">
        <f>+'CE Min'!#REF!</f>
        <v>#REF!</v>
      </c>
      <c r="H29" s="261" t="e">
        <f>+'CE Min'!#REF!</f>
        <v>#REF!</v>
      </c>
      <c r="I29" s="261" t="e">
        <f>+'CE Min'!#REF!</f>
        <v>#REF!</v>
      </c>
      <c r="J29" s="261" t="e">
        <f>+'CE Min'!#REF!</f>
        <v>#REF!</v>
      </c>
      <c r="K29" s="261" t="e">
        <f>+'CE Min'!#REF!</f>
        <v>#REF!</v>
      </c>
      <c r="L29" s="261" t="e">
        <f>+'CE Min'!#REF!</f>
        <v>#REF!</v>
      </c>
    </row>
    <row r="30" spans="1:12">
      <c r="A30" s="241" t="s">
        <v>1873</v>
      </c>
      <c r="B30" s="240" t="s">
        <v>1874</v>
      </c>
      <c r="C30" s="263" t="s">
        <v>1875</v>
      </c>
      <c r="D30" s="261" t="e">
        <f>+'CE Min'!#REF!+'CE Min'!#REF!</f>
        <v>#REF!</v>
      </c>
      <c r="E30" s="261" t="e">
        <f>+'CE Min'!#REF!+'CE Min'!#REF!</f>
        <v>#REF!</v>
      </c>
      <c r="F30" s="261" t="e">
        <f>+'CE Min'!#REF!+'CE Min'!#REF!</f>
        <v>#REF!</v>
      </c>
      <c r="G30" s="261" t="e">
        <f>+'CE Min'!#REF!+'CE Min'!#REF!</f>
        <v>#REF!</v>
      </c>
      <c r="H30" s="261" t="e">
        <f>+'CE Min'!#REF!+'CE Min'!#REF!</f>
        <v>#REF!</v>
      </c>
      <c r="I30" s="261" t="e">
        <f>+'CE Min'!#REF!+'CE Min'!#REF!</f>
        <v>#REF!</v>
      </c>
      <c r="J30" s="261" t="e">
        <f>+'CE Min'!#REF!+'CE Min'!#REF!</f>
        <v>#REF!</v>
      </c>
      <c r="K30" s="261" t="e">
        <f>+'CE Min'!#REF!+'CE Min'!#REF!</f>
        <v>#REF!</v>
      </c>
      <c r="L30" s="261" t="e">
        <f>+'CE Min'!#REF!+'CE Min'!#REF!</f>
        <v>#REF!</v>
      </c>
    </row>
    <row r="31" spans="1:12">
      <c r="A31" s="242" t="s">
        <v>1876</v>
      </c>
      <c r="B31" s="284">
        <v>16</v>
      </c>
      <c r="C31" s="264" t="s">
        <v>1202</v>
      </c>
      <c r="D31" s="261" t="e">
        <f>+'CE Min'!#REF!</f>
        <v>#REF!</v>
      </c>
      <c r="E31" s="261" t="e">
        <f>+'CE Min'!#REF!</f>
        <v>#REF!</v>
      </c>
      <c r="F31" s="261" t="e">
        <f>+'CE Min'!#REF!</f>
        <v>#REF!</v>
      </c>
      <c r="G31" s="261" t="e">
        <f>+'CE Min'!#REF!</f>
        <v>#REF!</v>
      </c>
      <c r="H31" s="261" t="e">
        <f>+'CE Min'!#REF!</f>
        <v>#REF!</v>
      </c>
      <c r="I31" s="261" t="e">
        <f>+'CE Min'!#REF!</f>
        <v>#REF!</v>
      </c>
      <c r="J31" s="261" t="e">
        <f>+'CE Min'!#REF!</f>
        <v>#REF!</v>
      </c>
      <c r="K31" s="261" t="e">
        <f>+'CE Min'!#REF!</f>
        <v>#REF!</v>
      </c>
      <c r="L31" s="261" t="e">
        <f>+'CE Min'!#REF!</f>
        <v>#REF!</v>
      </c>
    </row>
    <row r="32" spans="1:12">
      <c r="A32" s="242" t="s">
        <v>1877</v>
      </c>
      <c r="B32" s="284" t="s">
        <v>1878</v>
      </c>
      <c r="C32" s="265"/>
      <c r="D32" s="261" t="e">
        <f>+D33+D34</f>
        <v>#REF!</v>
      </c>
      <c r="E32" s="261" t="e">
        <f t="shared" ref="E32:L32" si="3">+E33+E34</f>
        <v>#REF!</v>
      </c>
      <c r="F32" s="261" t="e">
        <f t="shared" si="3"/>
        <v>#REF!</v>
      </c>
      <c r="G32" s="261" t="e">
        <f t="shared" si="3"/>
        <v>#REF!</v>
      </c>
      <c r="H32" s="261" t="e">
        <f t="shared" si="3"/>
        <v>#REF!</v>
      </c>
      <c r="I32" s="261" t="e">
        <f t="shared" si="3"/>
        <v>#REF!</v>
      </c>
      <c r="J32" s="261" t="e">
        <f t="shared" si="3"/>
        <v>#REF!</v>
      </c>
      <c r="K32" s="261" t="e">
        <f t="shared" si="3"/>
        <v>#REF!</v>
      </c>
      <c r="L32" s="261" t="e">
        <f t="shared" si="3"/>
        <v>#REF!</v>
      </c>
    </row>
    <row r="33" spans="1:12" ht="30" customHeight="1">
      <c r="A33" s="243" t="s">
        <v>1879</v>
      </c>
      <c r="B33" s="244" t="s">
        <v>1880</v>
      </c>
      <c r="C33" s="263" t="s">
        <v>1881</v>
      </c>
      <c r="D33" s="261" t="e">
        <f>+'CE Min'!#REF!-'CE Min'!#REF!-'CE Min'!#REF!-'CE Min'!#REF!-'CE Min'!#REF!</f>
        <v>#REF!</v>
      </c>
      <c r="E33" s="261" t="e">
        <f>+'CE Min'!#REF!-'CE Min'!#REF!-'CE Min'!#REF!-'CE Min'!#REF!-'CE Min'!#REF!</f>
        <v>#REF!</v>
      </c>
      <c r="F33" s="261" t="e">
        <f>+'CE Min'!#REF!-'CE Min'!#REF!-'CE Min'!#REF!-'CE Min'!#REF!-'CE Min'!#REF!</f>
        <v>#REF!</v>
      </c>
      <c r="G33" s="261" t="e">
        <f>+'CE Min'!#REF!-'CE Min'!#REF!-'CE Min'!#REF!-'CE Min'!#REF!-'CE Min'!#REF!</f>
        <v>#REF!</v>
      </c>
      <c r="H33" s="261" t="e">
        <f>+'CE Min'!#REF!-'CE Min'!#REF!-'CE Min'!#REF!-'CE Min'!#REF!-'CE Min'!#REF!</f>
        <v>#REF!</v>
      </c>
      <c r="I33" s="261" t="e">
        <f>+'CE Min'!#REF!-'CE Min'!#REF!-'CE Min'!#REF!-'CE Min'!#REF!-'CE Min'!#REF!</f>
        <v>#REF!</v>
      </c>
      <c r="J33" s="261" t="e">
        <f>+'CE Min'!#REF!-'CE Min'!#REF!-'CE Min'!#REF!-'CE Min'!#REF!-'CE Min'!#REF!</f>
        <v>#REF!</v>
      </c>
      <c r="K33" s="261" t="e">
        <f>+'CE Min'!#REF!-'CE Min'!#REF!-'CE Min'!#REF!-'CE Min'!#REF!-'CE Min'!#REF!</f>
        <v>#REF!</v>
      </c>
      <c r="L33" s="261" t="e">
        <f>+'CE Min'!#REF!-'CE Min'!#REF!-'CE Min'!#REF!-'CE Min'!#REF!-'CE Min'!#REF!</f>
        <v>#REF!</v>
      </c>
    </row>
    <row r="34" spans="1:12">
      <c r="A34" s="243" t="s">
        <v>1882</v>
      </c>
      <c r="B34" s="244" t="s">
        <v>1883</v>
      </c>
      <c r="C34" s="264" t="s">
        <v>509</v>
      </c>
      <c r="D34" s="261" t="e">
        <f>+'CE Min'!#REF!</f>
        <v>#REF!</v>
      </c>
      <c r="E34" s="261" t="e">
        <f>+'CE Min'!#REF!</f>
        <v>#REF!</v>
      </c>
      <c r="F34" s="261" t="e">
        <f>+'CE Min'!#REF!</f>
        <v>#REF!</v>
      </c>
      <c r="G34" s="261" t="e">
        <f>+'CE Min'!#REF!</f>
        <v>#REF!</v>
      </c>
      <c r="H34" s="261" t="e">
        <f>+'CE Min'!#REF!</f>
        <v>#REF!</v>
      </c>
      <c r="I34" s="261" t="e">
        <f>+'CE Min'!#REF!</f>
        <v>#REF!</v>
      </c>
      <c r="J34" s="261" t="e">
        <f>+'CE Min'!#REF!</f>
        <v>#REF!</v>
      </c>
      <c r="K34" s="261" t="e">
        <f>+'CE Min'!#REF!</f>
        <v>#REF!</v>
      </c>
      <c r="L34" s="261" t="e">
        <f>+'CE Min'!#REF!</f>
        <v>#REF!</v>
      </c>
    </row>
    <row r="35" spans="1:12">
      <c r="A35" s="242" t="s">
        <v>1884</v>
      </c>
      <c r="B35" s="284" t="s">
        <v>1885</v>
      </c>
      <c r="C35" s="265"/>
      <c r="D35" s="261" t="e">
        <f>+D36+D37</f>
        <v>#REF!</v>
      </c>
      <c r="E35" s="261" t="e">
        <f t="shared" ref="E35:L35" si="4">+E36+E37</f>
        <v>#REF!</v>
      </c>
      <c r="F35" s="261" t="e">
        <f t="shared" si="4"/>
        <v>#REF!</v>
      </c>
      <c r="G35" s="261" t="e">
        <f t="shared" si="4"/>
        <v>#REF!</v>
      </c>
      <c r="H35" s="261" t="e">
        <f t="shared" si="4"/>
        <v>#REF!</v>
      </c>
      <c r="I35" s="261" t="e">
        <f t="shared" si="4"/>
        <v>#REF!</v>
      </c>
      <c r="J35" s="261" t="e">
        <f t="shared" si="4"/>
        <v>#REF!</v>
      </c>
      <c r="K35" s="261" t="e">
        <f t="shared" si="4"/>
        <v>#REF!</v>
      </c>
      <c r="L35" s="261" t="e">
        <f t="shared" si="4"/>
        <v>#REF!</v>
      </c>
    </row>
    <row r="36" spans="1:12">
      <c r="A36" s="243" t="s">
        <v>1886</v>
      </c>
      <c r="B36" s="244" t="s">
        <v>1887</v>
      </c>
      <c r="C36" s="264" t="s">
        <v>1888</v>
      </c>
      <c r="D36" s="261" t="e">
        <f>+'CE Min'!#REF!+'CE Min'!#REF!-'CE Min'!#REF!+'CE Min'!#REF!</f>
        <v>#REF!</v>
      </c>
      <c r="E36" s="261" t="e">
        <f>+'CE Min'!#REF!+'CE Min'!#REF!-'CE Min'!#REF!+'CE Min'!#REF!</f>
        <v>#REF!</v>
      </c>
      <c r="F36" s="261" t="e">
        <f>+'CE Min'!#REF!+'CE Min'!#REF!-'CE Min'!#REF!+'CE Min'!#REF!</f>
        <v>#REF!</v>
      </c>
      <c r="G36" s="261" t="e">
        <f>+'CE Min'!#REF!+'CE Min'!#REF!-'CE Min'!#REF!+'CE Min'!#REF!</f>
        <v>#REF!</v>
      </c>
      <c r="H36" s="261" t="e">
        <f>+'CE Min'!#REF!+'CE Min'!#REF!-'CE Min'!#REF!+'CE Min'!#REF!</f>
        <v>#REF!</v>
      </c>
      <c r="I36" s="261" t="e">
        <f>+'CE Min'!#REF!+'CE Min'!#REF!-'CE Min'!#REF!+'CE Min'!#REF!</f>
        <v>#REF!</v>
      </c>
      <c r="J36" s="261" t="e">
        <f>+'CE Min'!#REF!+'CE Min'!#REF!-'CE Min'!#REF!+'CE Min'!#REF!</f>
        <v>#REF!</v>
      </c>
      <c r="K36" s="261" t="e">
        <f>+'CE Min'!#REF!+'CE Min'!#REF!-'CE Min'!#REF!+'CE Min'!#REF!</f>
        <v>#REF!</v>
      </c>
      <c r="L36" s="261" t="e">
        <f>+'CE Min'!#REF!+'CE Min'!#REF!-'CE Min'!#REF!+'CE Min'!#REF!</f>
        <v>#REF!</v>
      </c>
    </row>
    <row r="37" spans="1:12" ht="33.6" customHeight="1">
      <c r="A37" s="243" t="s">
        <v>1889</v>
      </c>
      <c r="B37" s="244" t="s">
        <v>1890</v>
      </c>
      <c r="C37" s="263" t="s">
        <v>1891</v>
      </c>
      <c r="D37" s="261" t="e">
        <f>+'CE Min'!#REF!+'CE Min'!#REF!+'CE Min'!#REF!+'CE Min'!#REF!+'CE Min'!#REF!-'CE Min'!#REF!+'CE Min'!#REF!</f>
        <v>#REF!</v>
      </c>
      <c r="E37" s="261" t="e">
        <f>+'CE Min'!#REF!+'CE Min'!#REF!+'CE Min'!#REF!+'CE Min'!#REF!+'CE Min'!#REF!-'CE Min'!#REF!+'CE Min'!#REF!</f>
        <v>#REF!</v>
      </c>
      <c r="F37" s="261" t="e">
        <f>+'CE Min'!#REF!+'CE Min'!#REF!+'CE Min'!#REF!+'CE Min'!#REF!+'CE Min'!#REF!-'CE Min'!#REF!+'CE Min'!#REF!</f>
        <v>#REF!</v>
      </c>
      <c r="G37" s="261" t="e">
        <f>+'CE Min'!#REF!+'CE Min'!#REF!+'CE Min'!#REF!+'CE Min'!#REF!+'CE Min'!#REF!-'CE Min'!#REF!+'CE Min'!#REF!</f>
        <v>#REF!</v>
      </c>
      <c r="H37" s="261" t="e">
        <f>+'CE Min'!#REF!+'CE Min'!#REF!+'CE Min'!#REF!+'CE Min'!#REF!+'CE Min'!#REF!-'CE Min'!#REF!+'CE Min'!#REF!</f>
        <v>#REF!</v>
      </c>
      <c r="I37" s="261" t="e">
        <f>+'CE Min'!#REF!+'CE Min'!#REF!+'CE Min'!#REF!+'CE Min'!#REF!+'CE Min'!#REF!-'CE Min'!#REF!+'CE Min'!#REF!</f>
        <v>#REF!</v>
      </c>
      <c r="J37" s="261" t="e">
        <f>+'CE Min'!#REF!+'CE Min'!#REF!+'CE Min'!#REF!+'CE Min'!#REF!+'CE Min'!#REF!-'CE Min'!#REF!+'CE Min'!#REF!</f>
        <v>#REF!</v>
      </c>
      <c r="K37" s="261" t="e">
        <f>+'CE Min'!#REF!+'CE Min'!#REF!+'CE Min'!#REF!+'CE Min'!#REF!+'CE Min'!#REF!-'CE Min'!#REF!+'CE Min'!#REF!</f>
        <v>#REF!</v>
      </c>
      <c r="L37" s="261" t="e">
        <f>+'CE Min'!#REF!+'CE Min'!#REF!+'CE Min'!#REF!+'CE Min'!#REF!+'CE Min'!#REF!-'CE Min'!#REF!+'CE Min'!#REF!</f>
        <v>#REF!</v>
      </c>
    </row>
    <row r="38" spans="1:12" ht="22.5">
      <c r="A38" s="245" t="s">
        <v>1892</v>
      </c>
      <c r="B38" s="285" t="s">
        <v>1893</v>
      </c>
      <c r="C38" s="265"/>
      <c r="D38" s="261" t="e">
        <f>+D39+D40+D41+D42+D43+D44+D45</f>
        <v>#REF!</v>
      </c>
      <c r="E38" s="261" t="e">
        <f t="shared" ref="E38:L38" si="5">+E39+E40+E41+E42+E43+E44+E45</f>
        <v>#REF!</v>
      </c>
      <c r="F38" s="261" t="e">
        <f t="shared" si="5"/>
        <v>#REF!</v>
      </c>
      <c r="G38" s="261" t="e">
        <f t="shared" si="5"/>
        <v>#REF!</v>
      </c>
      <c r="H38" s="261" t="e">
        <f t="shared" si="5"/>
        <v>#REF!</v>
      </c>
      <c r="I38" s="261" t="e">
        <f t="shared" si="5"/>
        <v>#REF!</v>
      </c>
      <c r="J38" s="261" t="e">
        <f t="shared" si="5"/>
        <v>#REF!</v>
      </c>
      <c r="K38" s="261" t="e">
        <f t="shared" si="5"/>
        <v>#REF!</v>
      </c>
      <c r="L38" s="261" t="e">
        <f t="shared" si="5"/>
        <v>#REF!</v>
      </c>
    </row>
    <row r="39" spans="1:12">
      <c r="A39" s="246" t="s">
        <v>1894</v>
      </c>
      <c r="B39" s="244" t="s">
        <v>1895</v>
      </c>
      <c r="C39" s="264" t="s">
        <v>529</v>
      </c>
      <c r="D39" s="261" t="e">
        <f>+'CE Min'!#REF!</f>
        <v>#REF!</v>
      </c>
      <c r="E39" s="261" t="e">
        <f>+'CE Min'!#REF!</f>
        <v>#REF!</v>
      </c>
      <c r="F39" s="261" t="e">
        <f>+'CE Min'!#REF!</f>
        <v>#REF!</v>
      </c>
      <c r="G39" s="261" t="e">
        <f>+'CE Min'!#REF!</f>
        <v>#REF!</v>
      </c>
      <c r="H39" s="261" t="e">
        <f>+'CE Min'!#REF!</f>
        <v>#REF!</v>
      </c>
      <c r="I39" s="261" t="e">
        <f>+'CE Min'!#REF!</f>
        <v>#REF!</v>
      </c>
      <c r="J39" s="261" t="e">
        <f>+'CE Min'!#REF!</f>
        <v>#REF!</v>
      </c>
      <c r="K39" s="261" t="e">
        <f>+'CE Min'!#REF!</f>
        <v>#REF!</v>
      </c>
      <c r="L39" s="261" t="e">
        <f>+'CE Min'!#REF!</f>
        <v>#REF!</v>
      </c>
    </row>
    <row r="40" spans="1:12">
      <c r="A40" s="246" t="s">
        <v>1896</v>
      </c>
      <c r="B40" s="244" t="s">
        <v>1897</v>
      </c>
      <c r="C40" s="264" t="s">
        <v>1898</v>
      </c>
      <c r="D40" s="261" t="e">
        <f>+'CE Min'!#REF!</f>
        <v>#REF!</v>
      </c>
      <c r="E40" s="261" t="e">
        <f>+'CE Min'!#REF!</f>
        <v>#REF!</v>
      </c>
      <c r="F40" s="261" t="e">
        <f>+'CE Min'!#REF!</f>
        <v>#REF!</v>
      </c>
      <c r="G40" s="261" t="e">
        <f>+'CE Min'!#REF!</f>
        <v>#REF!</v>
      </c>
      <c r="H40" s="261" t="e">
        <f>+'CE Min'!#REF!</f>
        <v>#REF!</v>
      </c>
      <c r="I40" s="261" t="e">
        <f>+'CE Min'!#REF!</f>
        <v>#REF!</v>
      </c>
      <c r="J40" s="261" t="e">
        <f>+'CE Min'!#REF!</f>
        <v>#REF!</v>
      </c>
      <c r="K40" s="261" t="e">
        <f>+'CE Min'!#REF!</f>
        <v>#REF!</v>
      </c>
      <c r="L40" s="261" t="e">
        <f>+'CE Min'!#REF!</f>
        <v>#REF!</v>
      </c>
    </row>
    <row r="41" spans="1:12">
      <c r="A41" s="247" t="s">
        <v>1899</v>
      </c>
      <c r="B41" s="244" t="s">
        <v>1900</v>
      </c>
      <c r="C41" s="264" t="s">
        <v>1901</v>
      </c>
      <c r="D41" s="261" t="e">
        <f>+'CE Min'!#REF!</f>
        <v>#REF!</v>
      </c>
      <c r="E41" s="261" t="e">
        <f>+'CE Min'!#REF!</f>
        <v>#REF!</v>
      </c>
      <c r="F41" s="261" t="e">
        <f>+'CE Min'!#REF!</f>
        <v>#REF!</v>
      </c>
      <c r="G41" s="261" t="e">
        <f>+'CE Min'!#REF!</f>
        <v>#REF!</v>
      </c>
      <c r="H41" s="261" t="e">
        <f>+'CE Min'!#REF!</f>
        <v>#REF!</v>
      </c>
      <c r="I41" s="261" t="e">
        <f>+'CE Min'!#REF!</f>
        <v>#REF!</v>
      </c>
      <c r="J41" s="261" t="e">
        <f>+'CE Min'!#REF!</f>
        <v>#REF!</v>
      </c>
      <c r="K41" s="261" t="e">
        <f>+'CE Min'!#REF!</f>
        <v>#REF!</v>
      </c>
      <c r="L41" s="261" t="e">
        <f>+'CE Min'!#REF!</f>
        <v>#REF!</v>
      </c>
    </row>
    <row r="42" spans="1:12">
      <c r="A42" s="246" t="s">
        <v>1902</v>
      </c>
      <c r="B42" s="244" t="s">
        <v>1903</v>
      </c>
      <c r="C42" s="264" t="s">
        <v>1904</v>
      </c>
      <c r="D42" s="261" t="e">
        <f>+'CE Min'!#REF!+'CE Min'!#REF!</f>
        <v>#REF!</v>
      </c>
      <c r="E42" s="261" t="e">
        <f>+'CE Min'!#REF!+'CE Min'!#REF!</f>
        <v>#REF!</v>
      </c>
      <c r="F42" s="261" t="e">
        <f>+'CE Min'!#REF!+'CE Min'!#REF!</f>
        <v>#REF!</v>
      </c>
      <c r="G42" s="261" t="e">
        <f>+'CE Min'!#REF!+'CE Min'!#REF!</f>
        <v>#REF!</v>
      </c>
      <c r="H42" s="261" t="e">
        <f>+'CE Min'!#REF!+'CE Min'!#REF!</f>
        <v>#REF!</v>
      </c>
      <c r="I42" s="261" t="e">
        <f>+'CE Min'!#REF!+'CE Min'!#REF!</f>
        <v>#REF!</v>
      </c>
      <c r="J42" s="261" t="e">
        <f>+'CE Min'!#REF!+'CE Min'!#REF!</f>
        <v>#REF!</v>
      </c>
      <c r="K42" s="261" t="e">
        <f>+'CE Min'!#REF!+'CE Min'!#REF!</f>
        <v>#REF!</v>
      </c>
      <c r="L42" s="261" t="e">
        <f>+'CE Min'!#REF!+'CE Min'!#REF!</f>
        <v>#REF!</v>
      </c>
    </row>
    <row r="43" spans="1:12">
      <c r="A43" s="246" t="s">
        <v>1905</v>
      </c>
      <c r="B43" s="244" t="s">
        <v>1906</v>
      </c>
      <c r="C43" s="264" t="s">
        <v>1907</v>
      </c>
      <c r="D43" s="261" t="e">
        <f>+'CE Min'!#REF!+'CE Min'!#REF!</f>
        <v>#REF!</v>
      </c>
      <c r="E43" s="261" t="e">
        <f>+'CE Min'!#REF!+'CE Min'!#REF!</f>
        <v>#REF!</v>
      </c>
      <c r="F43" s="261" t="e">
        <f>+'CE Min'!#REF!+'CE Min'!#REF!</f>
        <v>#REF!</v>
      </c>
      <c r="G43" s="261" t="e">
        <f>+'CE Min'!#REF!+'CE Min'!#REF!</f>
        <v>#REF!</v>
      </c>
      <c r="H43" s="261" t="e">
        <f>+'CE Min'!#REF!+'CE Min'!#REF!</f>
        <v>#REF!</v>
      </c>
      <c r="I43" s="261" t="e">
        <f>+'CE Min'!#REF!+'CE Min'!#REF!</f>
        <v>#REF!</v>
      </c>
      <c r="J43" s="261" t="e">
        <f>+'CE Min'!#REF!+'CE Min'!#REF!</f>
        <v>#REF!</v>
      </c>
      <c r="K43" s="261" t="e">
        <f>+'CE Min'!#REF!+'CE Min'!#REF!</f>
        <v>#REF!</v>
      </c>
      <c r="L43" s="261" t="e">
        <f>+'CE Min'!#REF!+'CE Min'!#REF!</f>
        <v>#REF!</v>
      </c>
    </row>
    <row r="44" spans="1:12">
      <c r="A44" s="246" t="s">
        <v>1908</v>
      </c>
      <c r="B44" s="244" t="s">
        <v>1909</v>
      </c>
      <c r="C44" s="264" t="s">
        <v>1910</v>
      </c>
      <c r="D44" s="261" t="e">
        <f>+'CE Min'!#REF!+'CE Min'!#REF!</f>
        <v>#REF!</v>
      </c>
      <c r="E44" s="261" t="e">
        <f>+'CE Min'!#REF!+'CE Min'!#REF!</f>
        <v>#REF!</v>
      </c>
      <c r="F44" s="261" t="e">
        <f>+'CE Min'!#REF!+'CE Min'!#REF!</f>
        <v>#REF!</v>
      </c>
      <c r="G44" s="261" t="e">
        <f>+'CE Min'!#REF!+'CE Min'!#REF!</f>
        <v>#REF!</v>
      </c>
      <c r="H44" s="261" t="e">
        <f>+'CE Min'!#REF!+'CE Min'!#REF!</f>
        <v>#REF!</v>
      </c>
      <c r="I44" s="261" t="e">
        <f>+'CE Min'!#REF!+'CE Min'!#REF!</f>
        <v>#REF!</v>
      </c>
      <c r="J44" s="261" t="e">
        <f>+'CE Min'!#REF!+'CE Min'!#REF!</f>
        <v>#REF!</v>
      </c>
      <c r="K44" s="261" t="e">
        <f>+'CE Min'!#REF!+'CE Min'!#REF!</f>
        <v>#REF!</v>
      </c>
      <c r="L44" s="261" t="e">
        <f>+'CE Min'!#REF!+'CE Min'!#REF!</f>
        <v>#REF!</v>
      </c>
    </row>
    <row r="45" spans="1:12" ht="82.9" customHeight="1">
      <c r="A45" s="246" t="s">
        <v>1911</v>
      </c>
      <c r="B45" s="244" t="s">
        <v>1912</v>
      </c>
      <c r="C45" s="263" t="s">
        <v>1913</v>
      </c>
      <c r="D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26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248" t="s">
        <v>1914</v>
      </c>
      <c r="B46" s="284">
        <v>20</v>
      </c>
      <c r="C46" s="263" t="s">
        <v>1915</v>
      </c>
      <c r="D46" s="261" t="e">
        <f>+'CE Min'!#REF!+'CE Min'!#REF!+'CE Min'!#REF!+'CE Min'!#REF!+'CE Min'!#REF!+'CE Min'!#REF!+'CE Min'!#REF!+'CE Min'!#REF!+'CE Min'!#REF!+'CE Min'!#REF!+'CE Min'!#REF!+'CE Min'!#REF!+'CE Min'!#REF!</f>
        <v>#REF!</v>
      </c>
      <c r="E46" s="261" t="e">
        <f>+'CE Min'!#REF!+'CE Min'!#REF!+'CE Min'!#REF!+'CE Min'!#REF!+'CE Min'!#REF!+'CE Min'!#REF!+'CE Min'!#REF!+'CE Min'!#REF!+'CE Min'!#REF!+'CE Min'!#REF!+'CE Min'!#REF!+'CE Min'!#REF!+'CE Min'!#REF!</f>
        <v>#REF!</v>
      </c>
      <c r="F46" s="261" t="e">
        <f>+'CE Min'!#REF!+'CE Min'!#REF!+'CE Min'!#REF!+'CE Min'!#REF!+'CE Min'!#REF!+'CE Min'!#REF!+'CE Min'!#REF!+'CE Min'!#REF!+'CE Min'!#REF!+'CE Min'!#REF!+'CE Min'!#REF!+'CE Min'!#REF!+'CE Min'!#REF!</f>
        <v>#REF!</v>
      </c>
      <c r="G46" s="261" t="e">
        <f>+'CE Min'!#REF!+'CE Min'!#REF!+'CE Min'!#REF!+'CE Min'!#REF!+'CE Min'!#REF!+'CE Min'!#REF!+'CE Min'!#REF!+'CE Min'!#REF!+'CE Min'!#REF!+'CE Min'!#REF!+'CE Min'!#REF!+'CE Min'!#REF!+'CE Min'!#REF!</f>
        <v>#REF!</v>
      </c>
      <c r="H46" s="261" t="e">
        <f>+'CE Min'!#REF!+'CE Min'!#REF!+'CE Min'!#REF!+'CE Min'!#REF!+'CE Min'!#REF!+'CE Min'!#REF!+'CE Min'!#REF!+'CE Min'!#REF!+'CE Min'!#REF!+'CE Min'!#REF!+'CE Min'!#REF!+'CE Min'!#REF!+'CE Min'!#REF!</f>
        <v>#REF!</v>
      </c>
      <c r="I46" s="261" t="e">
        <f>+'CE Min'!#REF!+'CE Min'!#REF!+'CE Min'!#REF!+'CE Min'!#REF!+'CE Min'!#REF!+'CE Min'!#REF!+'CE Min'!#REF!+'CE Min'!#REF!+'CE Min'!#REF!+'CE Min'!#REF!+'CE Min'!#REF!+'CE Min'!#REF!+'CE Min'!#REF!</f>
        <v>#REF!</v>
      </c>
      <c r="J46" s="261" t="e">
        <f>+'CE Min'!#REF!+'CE Min'!#REF!+'CE Min'!#REF!+'CE Min'!#REF!+'CE Min'!#REF!+'CE Min'!#REF!+'CE Min'!#REF!+'CE Min'!#REF!+'CE Min'!#REF!+'CE Min'!#REF!+'CE Min'!#REF!+'CE Min'!#REF!+'CE Min'!#REF!</f>
        <v>#REF!</v>
      </c>
      <c r="K46" s="261" t="e">
        <f>+'CE Min'!#REF!+'CE Min'!#REF!+'CE Min'!#REF!+'CE Min'!#REF!+'CE Min'!#REF!+'CE Min'!#REF!+'CE Min'!#REF!+'CE Min'!#REF!+'CE Min'!#REF!+'CE Min'!#REF!+'CE Min'!#REF!+'CE Min'!#REF!+'CE Min'!#REF!</f>
        <v>#REF!</v>
      </c>
      <c r="L46" s="261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245" t="s">
        <v>1916</v>
      </c>
      <c r="B47" s="284">
        <v>21</v>
      </c>
      <c r="C47" s="264" t="s">
        <v>1078</v>
      </c>
      <c r="D47" s="261" t="e">
        <f>+'CE Min'!#REF!</f>
        <v>#REF!</v>
      </c>
      <c r="E47" s="261" t="e">
        <f>+'CE Min'!#REF!</f>
        <v>#REF!</v>
      </c>
      <c r="F47" s="261" t="e">
        <f>+'CE Min'!#REF!</f>
        <v>#REF!</v>
      </c>
      <c r="G47" s="261" t="e">
        <f>+'CE Min'!#REF!</f>
        <v>#REF!</v>
      </c>
      <c r="H47" s="261" t="e">
        <f>+'CE Min'!#REF!</f>
        <v>#REF!</v>
      </c>
      <c r="I47" s="261" t="e">
        <f>+'CE Min'!#REF!</f>
        <v>#REF!</v>
      </c>
      <c r="J47" s="261" t="e">
        <f>+'CE Min'!#REF!</f>
        <v>#REF!</v>
      </c>
      <c r="K47" s="261" t="e">
        <f>+'CE Min'!#REF!</f>
        <v>#REF!</v>
      </c>
      <c r="L47" s="261" t="e">
        <f>+'CE Min'!#REF!</f>
        <v>#REF!</v>
      </c>
    </row>
    <row r="48" spans="1:12">
      <c r="A48" s="245" t="s">
        <v>1917</v>
      </c>
      <c r="B48" s="284">
        <v>22</v>
      </c>
      <c r="C48" s="266" t="s">
        <v>1918</v>
      </c>
      <c r="D48" s="261" t="e">
        <f>+'CE Min'!#REF!+'CE Min'!#REF!</f>
        <v>#REF!</v>
      </c>
      <c r="E48" s="261" t="e">
        <f>+'CE Min'!#REF!+'CE Min'!#REF!</f>
        <v>#REF!</v>
      </c>
      <c r="F48" s="261" t="e">
        <f>+'CE Min'!#REF!+'CE Min'!#REF!</f>
        <v>#REF!</v>
      </c>
      <c r="G48" s="261" t="e">
        <f>+'CE Min'!#REF!+'CE Min'!#REF!</f>
        <v>#REF!</v>
      </c>
      <c r="H48" s="261" t="e">
        <f>+'CE Min'!#REF!+'CE Min'!#REF!</f>
        <v>#REF!</v>
      </c>
      <c r="I48" s="261" t="e">
        <f>+'CE Min'!#REF!+'CE Min'!#REF!</f>
        <v>#REF!</v>
      </c>
      <c r="J48" s="261" t="e">
        <f>+'CE Min'!#REF!+'CE Min'!#REF!</f>
        <v>#REF!</v>
      </c>
      <c r="K48" s="261" t="e">
        <f>+'CE Min'!#REF!+'CE Min'!#REF!</f>
        <v>#REF!</v>
      </c>
      <c r="L48" s="261" t="e">
        <f>+'CE Min'!#REF!+'CE Min'!#REF!</f>
        <v>#REF!</v>
      </c>
    </row>
    <row r="49" spans="1:12">
      <c r="A49" s="245" t="s">
        <v>1919</v>
      </c>
      <c r="B49" s="284">
        <v>23</v>
      </c>
      <c r="C49" s="266" t="s">
        <v>1920</v>
      </c>
      <c r="D49" s="261" t="e">
        <f>+'CE Min'!#REF!+'CE Min'!#REF!+'CE Min'!#REF!</f>
        <v>#REF!</v>
      </c>
      <c r="E49" s="261" t="e">
        <f>+'CE Min'!#REF!+'CE Min'!#REF!+'CE Min'!#REF!</f>
        <v>#REF!</v>
      </c>
      <c r="F49" s="261" t="e">
        <f>+'CE Min'!#REF!+'CE Min'!#REF!+'CE Min'!#REF!</f>
        <v>#REF!</v>
      </c>
      <c r="G49" s="261" t="e">
        <f>+'CE Min'!#REF!+'CE Min'!#REF!+'CE Min'!#REF!</f>
        <v>#REF!</v>
      </c>
      <c r="H49" s="261" t="e">
        <f>+'CE Min'!#REF!+'CE Min'!#REF!+'CE Min'!#REF!</f>
        <v>#REF!</v>
      </c>
      <c r="I49" s="261" t="e">
        <f>+'CE Min'!#REF!+'CE Min'!#REF!+'CE Min'!#REF!</f>
        <v>#REF!</v>
      </c>
      <c r="J49" s="261" t="e">
        <f>+'CE Min'!#REF!+'CE Min'!#REF!+'CE Min'!#REF!</f>
        <v>#REF!</v>
      </c>
      <c r="K49" s="261" t="e">
        <f>+'CE Min'!#REF!+'CE Min'!#REF!+'CE Min'!#REF!</f>
        <v>#REF!</v>
      </c>
      <c r="L49" s="261" t="e">
        <f>+'CE Min'!#REF!+'CE Min'!#REF!+'CE Min'!#REF!</f>
        <v>#REF!</v>
      </c>
    </row>
    <row r="50" spans="1:12">
      <c r="A50" s="249" t="s">
        <v>1921</v>
      </c>
      <c r="B50" s="284">
        <v>24</v>
      </c>
      <c r="C50" s="267" t="s">
        <v>1653</v>
      </c>
      <c r="D50" s="261" t="e">
        <f>+'CE Min'!#REF!</f>
        <v>#REF!</v>
      </c>
      <c r="E50" s="261" t="e">
        <f>+'CE Min'!#REF!</f>
        <v>#REF!</v>
      </c>
      <c r="F50" s="261" t="e">
        <f>+'CE Min'!#REF!</f>
        <v>#REF!</v>
      </c>
      <c r="G50" s="261" t="e">
        <f>+'CE Min'!#REF!</f>
        <v>#REF!</v>
      </c>
      <c r="H50" s="261" t="e">
        <f>+'CE Min'!#REF!</f>
        <v>#REF!</v>
      </c>
      <c r="I50" s="261" t="e">
        <f>+'CE Min'!#REF!</f>
        <v>#REF!</v>
      </c>
      <c r="J50" s="261" t="e">
        <f>+'CE Min'!#REF!</f>
        <v>#REF!</v>
      </c>
      <c r="K50" s="261" t="e">
        <f>+'CE Min'!#REF!</f>
        <v>#REF!</v>
      </c>
      <c r="L50" s="261" t="e">
        <f>+'CE Min'!#REF!</f>
        <v>#REF!</v>
      </c>
    </row>
    <row r="51" spans="1:12" ht="83.65" customHeight="1">
      <c r="A51" s="250" t="s">
        <v>1922</v>
      </c>
      <c r="B51" s="284">
        <v>25</v>
      </c>
      <c r="C51" s="268" t="s">
        <v>1923</v>
      </c>
      <c r="D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26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250" t="s">
        <v>1924</v>
      </c>
      <c r="B52" s="284">
        <v>26</v>
      </c>
      <c r="C52" s="268" t="s">
        <v>1925</v>
      </c>
      <c r="D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261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245" t="s">
        <v>1926</v>
      </c>
      <c r="B53" s="284">
        <v>27</v>
      </c>
      <c r="C53" s="269" t="s">
        <v>1927</v>
      </c>
      <c r="D53" s="261" t="e">
        <f>-'CE Min'!#REF!+'CE Min'!#REF!+'CE Min'!#REF!</f>
        <v>#REF!</v>
      </c>
      <c r="E53" s="261" t="e">
        <f>-'CE Min'!#REF!+'CE Min'!#REF!+'CE Min'!#REF!</f>
        <v>#REF!</v>
      </c>
      <c r="F53" s="261" t="e">
        <f>-'CE Min'!#REF!+'CE Min'!#REF!+'CE Min'!#REF!</f>
        <v>#REF!</v>
      </c>
      <c r="G53" s="261" t="e">
        <f>-'CE Min'!#REF!+'CE Min'!#REF!+'CE Min'!#REF!</f>
        <v>#REF!</v>
      </c>
      <c r="H53" s="261" t="e">
        <f>-'CE Min'!#REF!+'CE Min'!#REF!+'CE Min'!#REF!</f>
        <v>#REF!</v>
      </c>
      <c r="I53" s="261" t="e">
        <f>-'CE Min'!#REF!+'CE Min'!#REF!+'CE Min'!#REF!</f>
        <v>#REF!</v>
      </c>
      <c r="J53" s="261" t="e">
        <f>-'CE Min'!#REF!+'CE Min'!#REF!+'CE Min'!#REF!</f>
        <v>#REF!</v>
      </c>
      <c r="K53" s="261" t="e">
        <f>-'CE Min'!#REF!+'CE Min'!#REF!+'CE Min'!#REF!</f>
        <v>#REF!</v>
      </c>
      <c r="L53" s="261" t="e">
        <f>-'CE Min'!#REF!+'CE Min'!#REF!+'CE Min'!#REF!</f>
        <v>#REF!</v>
      </c>
    </row>
    <row r="54" spans="1:12" ht="34.15" customHeight="1">
      <c r="A54" s="245" t="s">
        <v>1928</v>
      </c>
      <c r="B54" s="284">
        <v>28</v>
      </c>
      <c r="C54" s="270" t="s">
        <v>1929</v>
      </c>
      <c r="D54" s="261" t="e">
        <f>-'CE Min'!#REF!+'CE Min'!#REF!+'CE Min'!#REF!+'CE Min'!#REF!</f>
        <v>#REF!</v>
      </c>
      <c r="E54" s="261" t="e">
        <f>-'CE Min'!#REF!+'CE Min'!#REF!+'CE Min'!#REF!+'CE Min'!#REF!</f>
        <v>#REF!</v>
      </c>
      <c r="F54" s="261" t="e">
        <f>-'CE Min'!#REF!+'CE Min'!#REF!+'CE Min'!#REF!+'CE Min'!#REF!</f>
        <v>#REF!</v>
      </c>
      <c r="G54" s="261" t="e">
        <f>-'CE Min'!#REF!+'CE Min'!#REF!+'CE Min'!#REF!+'CE Min'!#REF!</f>
        <v>#REF!</v>
      </c>
      <c r="H54" s="261" t="e">
        <f>-'CE Min'!#REF!+'CE Min'!#REF!+'CE Min'!#REF!+'CE Min'!#REF!</f>
        <v>#REF!</v>
      </c>
      <c r="I54" s="261" t="e">
        <f>-'CE Min'!#REF!+'CE Min'!#REF!+'CE Min'!#REF!+'CE Min'!#REF!</f>
        <v>#REF!</v>
      </c>
      <c r="J54" s="261" t="e">
        <f>-'CE Min'!#REF!+'CE Min'!#REF!+'CE Min'!#REF!+'CE Min'!#REF!</f>
        <v>#REF!</v>
      </c>
      <c r="K54" s="261" t="e">
        <f>-'CE Min'!#REF!+'CE Min'!#REF!+'CE Min'!#REF!+'CE Min'!#REF!</f>
        <v>#REF!</v>
      </c>
      <c r="L54" s="261" t="e">
        <f>-'CE Min'!#REF!+'CE Min'!#REF!+'CE Min'!#REF!+'CE Min'!#REF!</f>
        <v>#REF!</v>
      </c>
    </row>
    <row r="55" spans="1:12" ht="66.599999999999994" customHeight="1">
      <c r="A55" s="251" t="s">
        <v>1930</v>
      </c>
      <c r="B55" s="286">
        <v>29</v>
      </c>
      <c r="C55" s="271" t="s">
        <v>1931</v>
      </c>
      <c r="D55" s="261" t="e">
        <f>-'CE Min'!#REF!-'CE Min'!#REF!-'CE Min'!#REF!-'CE Min'!#REF!-'CE Min'!#REF!+'CE Min'!#REF!+'CE Min'!#REF!+'CE Min'!#REF!+'CE Min'!#REF!+'CE Min'!#REF!</f>
        <v>#REF!</v>
      </c>
      <c r="E55" s="261" t="e">
        <f>-'CE Min'!#REF!-'CE Min'!#REF!-'CE Min'!#REF!-'CE Min'!#REF!-'CE Min'!#REF!+'CE Min'!#REF!+'CE Min'!#REF!+'CE Min'!#REF!+'CE Min'!#REF!+'CE Min'!#REF!</f>
        <v>#REF!</v>
      </c>
      <c r="F55" s="261" t="e">
        <f>-'CE Min'!#REF!-'CE Min'!#REF!-'CE Min'!#REF!-'CE Min'!#REF!-'CE Min'!#REF!+'CE Min'!#REF!+'CE Min'!#REF!+'CE Min'!#REF!+'CE Min'!#REF!+'CE Min'!#REF!</f>
        <v>#REF!</v>
      </c>
      <c r="G55" s="261" t="e">
        <f>-'CE Min'!#REF!-'CE Min'!#REF!-'CE Min'!#REF!-'CE Min'!#REF!-'CE Min'!#REF!+'CE Min'!#REF!+'CE Min'!#REF!+'CE Min'!#REF!+'CE Min'!#REF!+'CE Min'!#REF!</f>
        <v>#REF!</v>
      </c>
      <c r="H55" s="261" t="e">
        <f>-'CE Min'!#REF!-'CE Min'!#REF!-'CE Min'!#REF!-'CE Min'!#REF!-'CE Min'!#REF!+'CE Min'!#REF!+'CE Min'!#REF!+'CE Min'!#REF!+'CE Min'!#REF!+'CE Min'!#REF!</f>
        <v>#REF!</v>
      </c>
      <c r="I55" s="261" t="e">
        <f>-'CE Min'!#REF!-'CE Min'!#REF!-'CE Min'!#REF!-'CE Min'!#REF!-'CE Min'!#REF!+'CE Min'!#REF!+'CE Min'!#REF!+'CE Min'!#REF!+'CE Min'!#REF!+'CE Min'!#REF!</f>
        <v>#REF!</v>
      </c>
      <c r="J55" s="261" t="e">
        <f>-'CE Min'!#REF!-'CE Min'!#REF!-'CE Min'!#REF!-'CE Min'!#REF!-'CE Min'!#REF!+'CE Min'!#REF!+'CE Min'!#REF!+'CE Min'!#REF!+'CE Min'!#REF!+'CE Min'!#REF!</f>
        <v>#REF!</v>
      </c>
      <c r="K55" s="261" t="e">
        <f>-'CE Min'!#REF!-'CE Min'!#REF!-'CE Min'!#REF!-'CE Min'!#REF!-'CE Min'!#REF!+'CE Min'!#REF!+'CE Min'!#REF!+'CE Min'!#REF!+'CE Min'!#REF!+'CE Min'!#REF!</f>
        <v>#REF!</v>
      </c>
      <c r="L55" s="261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252" t="s">
        <v>1932</v>
      </c>
      <c r="B56" s="287" t="s">
        <v>1933</v>
      </c>
      <c r="C56" s="272"/>
      <c r="D56" s="272" t="e">
        <f>+D25+D31+D32+D35+D38+D46+D47+D48+D49+D50+D51+D52+D53+D54+D55</f>
        <v>#REF!</v>
      </c>
      <c r="E56" s="272" t="e">
        <f t="shared" ref="E56:L56" si="6">+E25+E31+E32+E35+E38+E46+E47+E48+E49+E50+E51+E52+E53+E54+E55</f>
        <v>#REF!</v>
      </c>
      <c r="F56" s="272" t="e">
        <f t="shared" si="6"/>
        <v>#REF!</v>
      </c>
      <c r="G56" s="272" t="e">
        <f t="shared" si="6"/>
        <v>#REF!</v>
      </c>
      <c r="H56" s="272" t="e">
        <f t="shared" si="6"/>
        <v>#REF!</v>
      </c>
      <c r="I56" s="272" t="e">
        <f t="shared" si="6"/>
        <v>#REF!</v>
      </c>
      <c r="J56" s="272" t="e">
        <f t="shared" si="6"/>
        <v>#REF!</v>
      </c>
      <c r="K56" s="272" t="e">
        <f t="shared" si="6"/>
        <v>#REF!</v>
      </c>
      <c r="L56" s="272" t="e">
        <f t="shared" si="6"/>
        <v>#REF!</v>
      </c>
    </row>
    <row r="57" spans="1:12" ht="14.25" thickTop="1" thickBot="1">
      <c r="A57" s="225"/>
      <c r="B57" s="288"/>
      <c r="C57" s="225"/>
    </row>
    <row r="58" spans="1:12" ht="19.5" thickTop="1" thickBot="1">
      <c r="A58" s="253" t="s">
        <v>1815</v>
      </c>
      <c r="B58" s="289" t="s">
        <v>1934</v>
      </c>
      <c r="C58" s="254"/>
      <c r="D58" s="254" t="e">
        <f>+D19-D56</f>
        <v>#REF!</v>
      </c>
      <c r="E58" s="254" t="e">
        <f t="shared" ref="E58:L58" si="7">+E19-E56</f>
        <v>#REF!</v>
      </c>
      <c r="F58" s="254" t="e">
        <f t="shared" si="7"/>
        <v>#REF!</v>
      </c>
      <c r="G58" s="254" t="e">
        <f t="shared" si="7"/>
        <v>#REF!</v>
      </c>
      <c r="H58" s="254" t="e">
        <f t="shared" si="7"/>
        <v>#REF!</v>
      </c>
      <c r="I58" s="254" t="e">
        <f t="shared" si="7"/>
        <v>#REF!</v>
      </c>
      <c r="J58" s="254" t="e">
        <f t="shared" si="7"/>
        <v>#REF!</v>
      </c>
      <c r="K58" s="254" t="e">
        <f t="shared" si="7"/>
        <v>#REF!</v>
      </c>
      <c r="L58" s="254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0"/>
  <sheetViews>
    <sheetView topLeftCell="A496" zoomScaleNormal="100" workbookViewId="0">
      <selection activeCell="D510" sqref="D510"/>
    </sheetView>
  </sheetViews>
  <sheetFormatPr defaultColWidth="16.7109375" defaultRowHeight="12.75"/>
  <cols>
    <col min="1" max="1" width="8.5703125" customWidth="1"/>
    <col min="3" max="3" width="52" customWidth="1"/>
    <col min="4" max="6" width="17" customWidth="1"/>
    <col min="7" max="22" width="3.140625" customWidth="1"/>
    <col min="23" max="23" width="0.85546875" customWidth="1"/>
  </cols>
  <sheetData>
    <row r="1" spans="1:24" s="57" customFormat="1" ht="15" customHeight="1">
      <c r="A1" s="54" t="s">
        <v>1218</v>
      </c>
      <c r="B1" s="55"/>
      <c r="C1" s="56"/>
      <c r="D1" s="56"/>
      <c r="E1" s="56"/>
      <c r="F1" s="56"/>
      <c r="T1" s="829" t="s">
        <v>1219</v>
      </c>
      <c r="U1" s="830"/>
      <c r="V1" s="831"/>
      <c r="W1" s="58"/>
    </row>
    <row r="2" spans="1:24" s="57" customFormat="1" ht="15.95" customHeight="1" thickBot="1">
      <c r="A2" s="55"/>
      <c r="B2" s="55"/>
      <c r="C2" s="56"/>
      <c r="D2" s="56"/>
      <c r="E2" s="56"/>
      <c r="F2" s="56"/>
      <c r="T2" s="832"/>
      <c r="U2" s="833"/>
      <c r="V2" s="834"/>
      <c r="W2" s="58"/>
    </row>
    <row r="3" spans="1:24" s="57" customFormat="1" ht="15">
      <c r="A3" s="59" t="s">
        <v>1220</v>
      </c>
      <c r="B3" s="55"/>
      <c r="C3" s="56"/>
      <c r="D3" s="56"/>
      <c r="E3" s="56"/>
      <c r="F3" s="56"/>
      <c r="W3" s="58"/>
    </row>
    <row r="4" spans="1:24" s="57" customFormat="1" ht="15">
      <c r="A4" s="59" t="s">
        <v>1221</v>
      </c>
      <c r="B4" s="55"/>
      <c r="C4" s="56"/>
      <c r="D4" s="56"/>
      <c r="E4" s="56"/>
      <c r="F4" s="56"/>
      <c r="W4" s="58"/>
    </row>
    <row r="5" spans="1:24" s="57" customFormat="1" ht="15">
      <c r="A5" s="55"/>
      <c r="B5" s="55"/>
      <c r="C5" s="56"/>
      <c r="D5" s="56"/>
      <c r="E5" s="56"/>
      <c r="F5" s="56"/>
      <c r="W5" s="58"/>
    </row>
    <row r="6" spans="1:24" s="57" customFormat="1" ht="76.5" customHeight="1">
      <c r="A6" s="60" t="s">
        <v>1222</v>
      </c>
      <c r="B6" s="55"/>
      <c r="C6" s="61"/>
      <c r="D6" s="61"/>
      <c r="E6" s="61"/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3"/>
      <c r="X6" s="64"/>
    </row>
    <row r="7" spans="1:24" s="57" customFormat="1" ht="21" customHeight="1" thickBot="1">
      <c r="A7" s="65"/>
      <c r="B7" s="66"/>
      <c r="C7" s="66"/>
      <c r="D7" s="66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3"/>
      <c r="W7" s="64"/>
    </row>
    <row r="8" spans="1:24" s="57" customFormat="1" ht="18.75" thickBot="1">
      <c r="A8" s="67" t="s">
        <v>1223</v>
      </c>
      <c r="B8" s="68"/>
      <c r="C8" s="299"/>
      <c r="D8" s="299"/>
      <c r="E8" s="205"/>
      <c r="F8" s="205"/>
      <c r="G8" s="205"/>
      <c r="H8" s="205"/>
      <c r="I8" s="205"/>
      <c r="J8" s="69"/>
      <c r="K8" s="65"/>
      <c r="L8" s="300" t="s">
        <v>1954</v>
      </c>
      <c r="M8" s="205"/>
      <c r="N8" s="205"/>
      <c r="O8" s="205"/>
      <c r="P8" s="205"/>
      <c r="Q8" s="205"/>
      <c r="R8" s="205"/>
      <c r="S8" s="205"/>
      <c r="T8" s="205"/>
      <c r="U8" s="205"/>
      <c r="V8" s="69"/>
      <c r="W8" s="63"/>
      <c r="X8" s="64"/>
    </row>
    <row r="9" spans="1:24" s="57" customFormat="1" ht="18">
      <c r="A9" s="70"/>
      <c r="B9" s="71"/>
      <c r="C9" s="301"/>
      <c r="D9" s="301"/>
      <c r="E9" s="72"/>
      <c r="F9" s="72"/>
      <c r="G9" s="72"/>
      <c r="H9" s="72"/>
      <c r="I9" s="72"/>
      <c r="J9" s="73"/>
      <c r="K9" s="65"/>
      <c r="L9" s="302"/>
      <c r="M9" s="72"/>
      <c r="N9" s="72"/>
      <c r="O9" s="72"/>
      <c r="P9" s="72"/>
      <c r="Q9" s="72"/>
      <c r="R9" s="72"/>
      <c r="S9" s="72"/>
      <c r="T9" s="72"/>
      <c r="U9" s="72"/>
      <c r="V9" s="73"/>
      <c r="W9" s="63"/>
      <c r="X9" s="64"/>
    </row>
    <row r="10" spans="1:24" s="57" customFormat="1" ht="18">
      <c r="A10" s="74" t="s">
        <v>1224</v>
      </c>
      <c r="B10" s="308">
        <v>60</v>
      </c>
      <c r="C10" s="309" t="s">
        <v>1957</v>
      </c>
      <c r="D10" s="313"/>
      <c r="E10" s="65" t="s">
        <v>2653</v>
      </c>
      <c r="F10" s="75" t="s">
        <v>4497</v>
      </c>
      <c r="G10" s="75">
        <v>9</v>
      </c>
      <c r="H10" s="75">
        <v>6</v>
      </c>
      <c r="I10" s="75">
        <v>0</v>
      </c>
      <c r="J10" s="76"/>
      <c r="K10" s="65"/>
      <c r="L10" s="836" t="s">
        <v>2654</v>
      </c>
      <c r="M10" s="837"/>
      <c r="N10" s="838"/>
      <c r="O10" s="75">
        <v>2</v>
      </c>
      <c r="P10" s="75">
        <v>0</v>
      </c>
      <c r="Q10" s="75">
        <v>2</v>
      </c>
      <c r="R10" s="75">
        <v>4</v>
      </c>
      <c r="S10" s="65"/>
      <c r="T10" s="65"/>
      <c r="U10" s="65"/>
      <c r="V10" s="76"/>
      <c r="W10" s="63"/>
      <c r="X10" s="64"/>
    </row>
    <row r="11" spans="1:24" s="57" customFormat="1" ht="18">
      <c r="A11" s="74"/>
      <c r="B11" s="66"/>
      <c r="C11" s="303"/>
      <c r="D11" s="303"/>
      <c r="E11" s="65"/>
      <c r="F11" s="65"/>
      <c r="G11" s="65"/>
      <c r="H11" s="65"/>
      <c r="I11" s="65"/>
      <c r="J11" s="76"/>
      <c r="K11" s="65"/>
      <c r="L11" s="304"/>
      <c r="M11" s="65"/>
      <c r="N11" s="65"/>
      <c r="O11" s="65"/>
      <c r="P11" s="65"/>
      <c r="Q11" s="65"/>
      <c r="R11" s="65"/>
      <c r="S11" s="65"/>
      <c r="T11" s="65"/>
      <c r="U11" s="65"/>
      <c r="V11" s="76"/>
      <c r="W11" s="63"/>
      <c r="X11" s="64"/>
    </row>
    <row r="12" spans="1:24" s="57" customFormat="1" ht="18">
      <c r="A12" s="74"/>
      <c r="B12" s="66"/>
      <c r="C12" s="303"/>
      <c r="D12" s="303"/>
      <c r="E12" s="65"/>
      <c r="F12" s="65"/>
      <c r="G12" s="65"/>
      <c r="H12" s="65"/>
      <c r="I12" s="65"/>
      <c r="J12" s="76"/>
      <c r="K12" s="65"/>
      <c r="L12" s="839" t="s">
        <v>2655</v>
      </c>
      <c r="M12" s="840"/>
      <c r="N12" s="77">
        <v>1</v>
      </c>
      <c r="O12" s="75"/>
      <c r="P12" s="77">
        <v>2</v>
      </c>
      <c r="Q12" s="75"/>
      <c r="R12" s="77">
        <v>3</v>
      </c>
      <c r="S12" s="75"/>
      <c r="T12" s="77">
        <v>4</v>
      </c>
      <c r="U12" s="75"/>
      <c r="V12" s="76"/>
      <c r="W12" s="63"/>
      <c r="X12" s="64"/>
    </row>
    <row r="13" spans="1:24" s="57" customFormat="1" ht="18">
      <c r="A13" s="74"/>
      <c r="B13" s="66"/>
      <c r="C13" s="303"/>
      <c r="D13" s="303"/>
      <c r="E13" s="65"/>
      <c r="F13" s="65"/>
      <c r="G13" s="65"/>
      <c r="H13" s="65"/>
      <c r="I13" s="65"/>
      <c r="J13" s="76"/>
      <c r="K13" s="65"/>
      <c r="L13" s="304"/>
      <c r="M13" s="65"/>
      <c r="N13" s="65"/>
      <c r="O13" s="65"/>
      <c r="P13" s="65"/>
      <c r="Q13" s="65"/>
      <c r="R13" s="65"/>
      <c r="S13" s="65"/>
      <c r="T13" s="65"/>
      <c r="U13" s="65"/>
      <c r="V13" s="76"/>
      <c r="W13" s="63"/>
      <c r="X13" s="64"/>
    </row>
    <row r="14" spans="1:24" s="57" customFormat="1" ht="18">
      <c r="A14" s="74"/>
      <c r="B14" s="66"/>
      <c r="C14" s="303"/>
      <c r="D14" s="303"/>
      <c r="E14" s="65"/>
      <c r="F14" s="65"/>
      <c r="G14" s="65"/>
      <c r="H14" s="65"/>
      <c r="I14" s="65"/>
      <c r="J14" s="76"/>
      <c r="K14" s="65"/>
      <c r="L14" s="839" t="s">
        <v>1955</v>
      </c>
      <c r="M14" s="840"/>
      <c r="N14" s="841"/>
      <c r="O14" s="75"/>
      <c r="P14" s="65"/>
      <c r="Q14" s="840" t="s">
        <v>1225</v>
      </c>
      <c r="R14" s="840"/>
      <c r="S14" s="840"/>
      <c r="T14" s="841"/>
      <c r="U14" s="75" t="s">
        <v>4498</v>
      </c>
      <c r="V14" s="76"/>
      <c r="W14" s="63"/>
      <c r="X14" s="64"/>
    </row>
    <row r="15" spans="1:24" s="57" customFormat="1" ht="18.75" thickBot="1">
      <c r="A15" s="78"/>
      <c r="B15" s="79"/>
      <c r="C15" s="305"/>
      <c r="D15" s="305"/>
      <c r="E15" s="80"/>
      <c r="F15" s="80"/>
      <c r="G15" s="80"/>
      <c r="H15" s="80"/>
      <c r="I15" s="80"/>
      <c r="J15" s="81"/>
      <c r="K15" s="65"/>
      <c r="L15" s="306"/>
      <c r="M15" s="80"/>
      <c r="N15" s="80"/>
      <c r="O15" s="80"/>
      <c r="P15" s="80"/>
      <c r="Q15" s="80"/>
      <c r="R15" s="80"/>
      <c r="S15" s="80"/>
      <c r="T15" s="80"/>
      <c r="U15" s="80"/>
      <c r="V15" s="81"/>
      <c r="W15" s="63"/>
      <c r="X15" s="64"/>
    </row>
    <row r="16" spans="1:24" s="57" customFormat="1" ht="15">
      <c r="B16" s="66"/>
      <c r="C16" s="66"/>
      <c r="D16" s="66"/>
      <c r="E16" s="66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3"/>
      <c r="W16" s="64"/>
    </row>
    <row r="17" spans="1:24" s="57" customFormat="1" ht="15.75" thickBot="1">
      <c r="B17" s="66"/>
      <c r="C17" s="66"/>
      <c r="D17" s="66"/>
      <c r="E17" s="66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3"/>
      <c r="W17" s="64"/>
    </row>
    <row r="18" spans="1:24" s="57" customFormat="1" ht="15.95" customHeight="1" thickBot="1">
      <c r="A18" s="348" t="s">
        <v>1226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50"/>
      <c r="W18" s="63"/>
      <c r="X18" s="64"/>
    </row>
    <row r="19" spans="1:24" s="57" customFormat="1" ht="15">
      <c r="A19" s="82"/>
      <c r="B19" s="83"/>
      <c r="C19" s="83"/>
      <c r="D19" s="83"/>
      <c r="E19" s="83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307"/>
      <c r="W19" s="63"/>
      <c r="X19" s="64"/>
    </row>
    <row r="20" spans="1:24" s="57" customFormat="1" ht="15">
      <c r="A20" s="85"/>
      <c r="B20" s="66"/>
      <c r="C20" s="66"/>
      <c r="D20" s="66"/>
      <c r="E20" s="66"/>
      <c r="F20" s="77"/>
      <c r="G20" s="77" t="s">
        <v>1956</v>
      </c>
      <c r="H20" s="75"/>
      <c r="I20" s="65"/>
      <c r="J20" s="77" t="s">
        <v>1227</v>
      </c>
      <c r="K20" s="75"/>
      <c r="L20" s="64"/>
      <c r="M20" s="65"/>
      <c r="N20" s="65"/>
      <c r="O20" s="65"/>
      <c r="P20" s="65"/>
      <c r="Q20" s="65"/>
      <c r="R20" s="65"/>
      <c r="S20" s="65"/>
      <c r="T20" s="65"/>
      <c r="U20" s="65"/>
      <c r="V20" s="76"/>
      <c r="W20" s="63"/>
      <c r="X20" s="64"/>
    </row>
    <row r="21" spans="1:24" s="57" customFormat="1" ht="15.75" thickBot="1">
      <c r="A21" s="86"/>
      <c r="B21" s="79"/>
      <c r="C21" s="79"/>
      <c r="D21" s="79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/>
      <c r="W21" s="63"/>
      <c r="X21" s="64"/>
    </row>
    <row r="22" spans="1:24" s="57" customFormat="1" ht="15">
      <c r="B22" s="66"/>
      <c r="C22" s="66"/>
      <c r="D22" s="66"/>
      <c r="E22" s="66"/>
      <c r="F22" s="66"/>
      <c r="G22" s="66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3"/>
      <c r="X22" s="64"/>
    </row>
    <row r="23" spans="1:24" ht="18.75" thickBot="1">
      <c r="A23" s="87"/>
      <c r="B23" s="88"/>
      <c r="C23" s="88"/>
      <c r="D23" s="835" t="s">
        <v>2595</v>
      </c>
      <c r="E23" s="835"/>
      <c r="F23" s="835"/>
      <c r="G23" s="347"/>
      <c r="H23" s="87"/>
      <c r="I23" s="87"/>
      <c r="J23" s="87"/>
      <c r="K23" s="87"/>
      <c r="L23" s="87"/>
      <c r="T23" s="89"/>
    </row>
    <row r="24" spans="1:24" s="223" customFormat="1" ht="66" customHeight="1" thickBot="1">
      <c r="A24" s="195" t="s">
        <v>1228</v>
      </c>
      <c r="B24" s="90" t="s">
        <v>1229</v>
      </c>
      <c r="C24" s="290" t="s">
        <v>1230</v>
      </c>
      <c r="D24" s="221" t="s">
        <v>2661</v>
      </c>
      <c r="E24" s="221" t="s">
        <v>2659</v>
      </c>
      <c r="F24" s="92"/>
      <c r="G24" s="222"/>
      <c r="H24" s="91"/>
      <c r="I24" s="91"/>
      <c r="J24"/>
      <c r="K24" s="91"/>
      <c r="L24"/>
      <c r="M24"/>
      <c r="N24"/>
      <c r="O24"/>
      <c r="P24"/>
      <c r="Q24"/>
      <c r="R24"/>
      <c r="S24"/>
      <c r="T24" s="92"/>
      <c r="U24" s="92"/>
      <c r="W24" s="224"/>
    </row>
    <row r="25" spans="1:24" ht="18.75">
      <c r="A25" s="196"/>
      <c r="B25" s="118"/>
      <c r="C25" s="119" t="s">
        <v>1829</v>
      </c>
      <c r="D25" s="120"/>
      <c r="E25" s="120"/>
      <c r="F25" s="63"/>
      <c r="G25" s="207"/>
    </row>
    <row r="26" spans="1:24" ht="18.75">
      <c r="A26" s="197"/>
      <c r="B26" s="121" t="s">
        <v>1231</v>
      </c>
      <c r="C26" s="122" t="s">
        <v>1232</v>
      </c>
      <c r="D26" s="364">
        <f t="shared" ref="D26" si="0">(D27+D36+D51+D56)</f>
        <v>86090312.270000011</v>
      </c>
      <c r="E26" s="364">
        <f t="shared" ref="E26" si="1">(E27+E36+E51+E56)</f>
        <v>63586076.500000007</v>
      </c>
      <c r="F26" s="63" t="s">
        <v>1835</v>
      </c>
      <c r="G26" s="207"/>
    </row>
    <row r="27" spans="1:24" ht="25.5">
      <c r="A27" s="198"/>
      <c r="B27" s="116" t="s">
        <v>1233</v>
      </c>
      <c r="C27" s="117" t="s">
        <v>1234</v>
      </c>
      <c r="D27" s="365">
        <f t="shared" ref="D27" si="2">+D28+D35</f>
        <v>44562905.260000005</v>
      </c>
      <c r="E27" s="365">
        <f t="shared" ref="E27" si="3">+E28+E35</f>
        <v>54520669.510000005</v>
      </c>
      <c r="F27" s="63" t="s">
        <v>1835</v>
      </c>
      <c r="G27" s="207"/>
      <c r="H27" s="95"/>
    </row>
    <row r="28" spans="1:24" ht="25.5">
      <c r="A28" s="197"/>
      <c r="B28" s="125" t="s">
        <v>122</v>
      </c>
      <c r="C28" s="126" t="s">
        <v>1235</v>
      </c>
      <c r="D28" s="366">
        <f t="shared" ref="D28" si="4">+D29+D30+D31+D34</f>
        <v>44562905.260000005</v>
      </c>
      <c r="E28" s="366">
        <f t="shared" ref="E28" si="5">+E29+E30+E31+E34</f>
        <v>54520669.510000005</v>
      </c>
      <c r="F28" s="63" t="s">
        <v>1835</v>
      </c>
      <c r="G28" s="207"/>
      <c r="H28" s="95"/>
    </row>
    <row r="29" spans="1:24" ht="18.75">
      <c r="A29" s="197"/>
      <c r="B29" s="100" t="s">
        <v>123</v>
      </c>
      <c r="C29" s="101" t="s">
        <v>1236</v>
      </c>
      <c r="D29" s="367">
        <f>ROUND('Alim CE Ricavi'!E7,2)</f>
        <v>19996653.440000001</v>
      </c>
      <c r="E29" s="367">
        <f>ROUND('Alim CE Ricavi'!H7,2)</f>
        <v>18496634.670000002</v>
      </c>
      <c r="F29" s="63"/>
      <c r="G29" s="207"/>
      <c r="H29" s="95"/>
    </row>
    <row r="30" spans="1:24" ht="18.75">
      <c r="A30" s="197"/>
      <c r="B30" s="100" t="s">
        <v>125</v>
      </c>
      <c r="C30" s="101" t="s">
        <v>1237</v>
      </c>
      <c r="D30" s="367">
        <f>ROUND('Alim CE Ricavi'!E9,2)</f>
        <v>21785251.82</v>
      </c>
      <c r="E30" s="367">
        <f>ROUND('Alim CE Ricavi'!H9,2)</f>
        <v>33243034.84</v>
      </c>
      <c r="F30" s="63"/>
      <c r="G30" s="207"/>
      <c r="H30" s="95"/>
    </row>
    <row r="31" spans="1:24" ht="18.75">
      <c r="A31" s="197"/>
      <c r="B31" s="127" t="s">
        <v>126</v>
      </c>
      <c r="C31" s="128" t="s">
        <v>1238</v>
      </c>
      <c r="D31" s="368">
        <f t="shared" ref="D31" si="6">+D32+D33</f>
        <v>2781000</v>
      </c>
      <c r="E31" s="368">
        <f t="shared" ref="E31" si="7">+E32+E33</f>
        <v>2781000</v>
      </c>
      <c r="F31" s="63" t="s">
        <v>1835</v>
      </c>
      <c r="G31" s="207"/>
      <c r="H31" s="95"/>
    </row>
    <row r="32" spans="1:24" ht="18.75">
      <c r="A32" s="197"/>
      <c r="B32" s="102" t="s">
        <v>128</v>
      </c>
      <c r="C32" s="103" t="s">
        <v>1239</v>
      </c>
      <c r="D32" s="367">
        <f>ROUND('Alim CE Ricavi'!E12,)</f>
        <v>0</v>
      </c>
      <c r="E32" s="367">
        <f>ROUND('Alim CE Ricavi'!H12,)</f>
        <v>0</v>
      </c>
      <c r="F32" s="63"/>
      <c r="G32" s="207"/>
      <c r="H32" s="95"/>
    </row>
    <row r="33" spans="1:8" ht="18.75">
      <c r="A33" s="197"/>
      <c r="B33" s="102" t="s">
        <v>130</v>
      </c>
      <c r="C33" s="103" t="s">
        <v>1240</v>
      </c>
      <c r="D33" s="367">
        <f>+ROUND('Alim CE Ricavi'!E14,2)</f>
        <v>2781000</v>
      </c>
      <c r="E33" s="367">
        <f>+ROUND('Alim CE Ricavi'!H14,2)</f>
        <v>2781000</v>
      </c>
      <c r="F33" s="63"/>
      <c r="G33" s="207"/>
      <c r="H33" s="95"/>
    </row>
    <row r="34" spans="1:8" ht="25.5">
      <c r="A34" s="197"/>
      <c r="B34" s="100" t="s">
        <v>132</v>
      </c>
      <c r="C34" s="101" t="s">
        <v>1241</v>
      </c>
      <c r="D34" s="367">
        <f>ROUND('Alim CE Ricavi'!E16,2)</f>
        <v>0</v>
      </c>
      <c r="E34" s="367">
        <f>ROUND('Alim CE Ricavi'!H16,2)</f>
        <v>0</v>
      </c>
      <c r="F34" s="63"/>
      <c r="G34" s="207"/>
      <c r="H34" s="95"/>
    </row>
    <row r="35" spans="1:8" ht="25.5">
      <c r="A35" s="197"/>
      <c r="B35" s="125" t="s">
        <v>133</v>
      </c>
      <c r="C35" s="126" t="s">
        <v>1242</v>
      </c>
      <c r="D35" s="366">
        <f>ROUND('Alim CE Ricavi'!E18,2)</f>
        <v>0</v>
      </c>
      <c r="E35" s="366">
        <f>ROUND('Alim CE Ricavi'!H18,2)</f>
        <v>0</v>
      </c>
      <c r="F35" s="63"/>
      <c r="G35" s="207"/>
      <c r="H35" s="95"/>
    </row>
    <row r="36" spans="1:8" ht="18.75">
      <c r="A36" s="197"/>
      <c r="B36" s="116" t="s">
        <v>135</v>
      </c>
      <c r="C36" s="117" t="s">
        <v>1243</v>
      </c>
      <c r="D36" s="365">
        <f t="shared" ref="D36" si="8">+D37+D42+D45</f>
        <v>41527407.010000005</v>
      </c>
      <c r="E36" s="365">
        <f t="shared" ref="E36" si="9">+E37+E42+E45</f>
        <v>9065406.9900000002</v>
      </c>
      <c r="F36" s="63" t="s">
        <v>1835</v>
      </c>
      <c r="G36" s="207"/>
      <c r="H36" s="95"/>
    </row>
    <row r="37" spans="1:8" ht="18.75">
      <c r="A37" s="197"/>
      <c r="B37" s="125" t="s">
        <v>136</v>
      </c>
      <c r="C37" s="126" t="s">
        <v>1244</v>
      </c>
      <c r="D37" s="366">
        <f t="shared" ref="D37" si="10">+D38+D39+D40+D41</f>
        <v>40560988.990000002</v>
      </c>
      <c r="E37" s="366">
        <f t="shared" ref="E37" si="11">+E38+E39+E40+E41</f>
        <v>6726687.8399999999</v>
      </c>
      <c r="F37" s="63" t="s">
        <v>1835</v>
      </c>
      <c r="G37" s="207"/>
      <c r="H37" s="95"/>
    </row>
    <row r="38" spans="1:8" ht="25.5">
      <c r="A38" s="197"/>
      <c r="B38" s="100" t="s">
        <v>137</v>
      </c>
      <c r="C38" s="101" t="s">
        <v>1245</v>
      </c>
      <c r="D38" s="367">
        <f>ROUND(('Alim CE Ricavi'!E22+'Alim CE Ricavi'!E23+'Alim CE Ricavi'!E24+'Alim CE Ricavi'!E25+'Alim CE Ricavi'!E26+'Alim CE Ricavi'!E27),2)</f>
        <v>38785988.990000002</v>
      </c>
      <c r="E38" s="367">
        <f>ROUND(('Alim CE Ricavi'!H22+'Alim CE Ricavi'!H23+'Alim CE Ricavi'!H24+'Alim CE Ricavi'!H25+'Alim CE Ricavi'!H26+'Alim CE Ricavi'!H27),2)</f>
        <v>6726687.8399999999</v>
      </c>
      <c r="F38" s="63"/>
      <c r="G38" s="207"/>
      <c r="H38" s="95"/>
    </row>
    <row r="39" spans="1:8" ht="38.25">
      <c r="A39" s="197"/>
      <c r="B39" s="100" t="s">
        <v>144</v>
      </c>
      <c r="C39" s="101" t="s">
        <v>1836</v>
      </c>
      <c r="D39" s="367">
        <f>ROUND('Alim CE Ricavi'!E29,2)</f>
        <v>0</v>
      </c>
      <c r="E39" s="367">
        <f>ROUND('Alim CE Ricavi'!H29,2)</f>
        <v>0</v>
      </c>
      <c r="F39" s="63"/>
      <c r="G39" s="207"/>
      <c r="H39" s="95"/>
    </row>
    <row r="40" spans="1:8" ht="38.25">
      <c r="A40" s="197"/>
      <c r="B40" s="100" t="s">
        <v>145</v>
      </c>
      <c r="C40" s="101" t="s">
        <v>1837</v>
      </c>
      <c r="D40" s="367">
        <f>ROUND('Alim CE Ricavi'!E31,2)</f>
        <v>345000</v>
      </c>
      <c r="E40" s="367">
        <f>ROUND('Alim CE Ricavi'!H31,2)</f>
        <v>0</v>
      </c>
      <c r="F40" s="63"/>
      <c r="G40" s="207"/>
      <c r="H40" s="95"/>
    </row>
    <row r="41" spans="1:8" ht="25.5">
      <c r="A41" s="197"/>
      <c r="B41" s="100" t="s">
        <v>147</v>
      </c>
      <c r="C41" s="101" t="s">
        <v>1246</v>
      </c>
      <c r="D41" s="367">
        <f>ROUND('Alim CE Ricavi'!E33,2)</f>
        <v>1430000</v>
      </c>
      <c r="E41" s="367">
        <f>ROUND('Alim CE Ricavi'!H33,2)</f>
        <v>0</v>
      </c>
      <c r="F41" s="63"/>
      <c r="G41" s="207"/>
      <c r="H41" s="95"/>
    </row>
    <row r="42" spans="1:8" ht="25.5">
      <c r="A42" s="197"/>
      <c r="B42" s="125" t="s">
        <v>148</v>
      </c>
      <c r="C42" s="126" t="s">
        <v>1247</v>
      </c>
      <c r="D42" s="366">
        <f t="shared" ref="D42" si="12">+D43+D44</f>
        <v>0</v>
      </c>
      <c r="E42" s="366">
        <f t="shared" ref="E42" si="13">+E43+E44</f>
        <v>0</v>
      </c>
      <c r="F42" s="63" t="s">
        <v>1835</v>
      </c>
      <c r="G42" s="207"/>
      <c r="H42" s="95"/>
    </row>
    <row r="43" spans="1:8" ht="25.5">
      <c r="A43" s="197" t="s">
        <v>1248</v>
      </c>
      <c r="B43" s="100" t="s">
        <v>150</v>
      </c>
      <c r="C43" s="101" t="s">
        <v>1249</v>
      </c>
      <c r="D43" s="367">
        <f>ROUND('Alim CE Ricavi'!E36,2)</f>
        <v>0</v>
      </c>
      <c r="E43" s="367">
        <f>ROUND('Alim CE Ricavi'!H36,2)</f>
        <v>0</v>
      </c>
      <c r="F43" s="63"/>
      <c r="G43" s="207"/>
      <c r="H43" s="95"/>
    </row>
    <row r="44" spans="1:8" ht="25.5">
      <c r="A44" s="197" t="s">
        <v>1248</v>
      </c>
      <c r="B44" s="100" t="s">
        <v>152</v>
      </c>
      <c r="C44" s="101" t="s">
        <v>1250</v>
      </c>
      <c r="D44" s="367">
        <f>ROUND('Alim CE Ricavi'!E38,2)</f>
        <v>0</v>
      </c>
      <c r="E44" s="367">
        <f>ROUND('Alim CE Ricavi'!H38,2)</f>
        <v>0</v>
      </c>
      <c r="F44" s="63"/>
      <c r="G44" s="207"/>
      <c r="H44" s="95"/>
    </row>
    <row r="45" spans="1:8" ht="25.5">
      <c r="A45" s="199"/>
      <c r="B45" s="125" t="s">
        <v>153</v>
      </c>
      <c r="C45" s="126" t="s">
        <v>1251</v>
      </c>
      <c r="D45" s="366">
        <f t="shared" ref="D45" si="14">+D46+D47+D48+D49+D50</f>
        <v>966418.02</v>
      </c>
      <c r="E45" s="366">
        <f t="shared" ref="E45" si="15">+E46+E47+E48+E49+E50</f>
        <v>2338719.15</v>
      </c>
      <c r="F45" s="63" t="s">
        <v>1835</v>
      </c>
      <c r="G45" s="207"/>
      <c r="H45" s="95"/>
    </row>
    <row r="46" spans="1:8" ht="18.75">
      <c r="A46" s="199"/>
      <c r="B46" s="100" t="s">
        <v>155</v>
      </c>
      <c r="C46" s="101" t="s">
        <v>1252</v>
      </c>
      <c r="D46" s="367">
        <f>ROUND('Alim CE Ricavi'!E41,2)</f>
        <v>966418.02</v>
      </c>
      <c r="E46" s="367">
        <f>ROUND('Alim CE Ricavi'!H41,2)</f>
        <v>955315.95</v>
      </c>
      <c r="F46" s="310"/>
      <c r="G46" s="207"/>
      <c r="H46" s="95"/>
    </row>
    <row r="47" spans="1:8" ht="25.5">
      <c r="A47" s="199"/>
      <c r="B47" s="100" t="s">
        <v>156</v>
      </c>
      <c r="C47" s="101" t="s">
        <v>1253</v>
      </c>
      <c r="D47" s="367">
        <f>ROUND(('Alim CE Ricavi'!E43+'Alim CE Ricavi'!E44+'Alim CE Ricavi'!E45+'Alim CE Ricavi'!E46+'Alim CE Ricavi'!E47+'Alim CE Ricavi'!E48),2)</f>
        <v>0</v>
      </c>
      <c r="E47" s="367">
        <f>ROUND(('Alim CE Ricavi'!H43+'Alim CE Ricavi'!H44+'Alim CE Ricavi'!H45+'Alim CE Ricavi'!H46+'Alim CE Ricavi'!H47+'Alim CE Ricavi'!H48),2)</f>
        <v>1383403.2</v>
      </c>
      <c r="F47" s="310"/>
      <c r="G47" s="207"/>
      <c r="H47" s="95"/>
    </row>
    <row r="48" spans="1:8" ht="25.5">
      <c r="A48" s="199"/>
      <c r="B48" s="100" t="s">
        <v>164</v>
      </c>
      <c r="C48" s="101" t="s">
        <v>1254</v>
      </c>
      <c r="D48" s="367">
        <f>ROUND('Alim CE Ricavi'!E50,2)</f>
        <v>0</v>
      </c>
      <c r="E48" s="367">
        <f>ROUND('Alim CE Ricavi'!H50,2)</f>
        <v>0</v>
      </c>
      <c r="F48" s="310"/>
      <c r="G48" s="207"/>
      <c r="H48" s="95"/>
    </row>
    <row r="49" spans="1:8" ht="25.5">
      <c r="A49" s="199"/>
      <c r="B49" s="100" t="s">
        <v>166</v>
      </c>
      <c r="C49" s="101" t="s">
        <v>1255</v>
      </c>
      <c r="D49" s="367">
        <f>ROUND('Alim CE Ricavi'!E52,2)</f>
        <v>0</v>
      </c>
      <c r="E49" s="367">
        <f>ROUND('Alim CE Ricavi'!H52,2)</f>
        <v>0</v>
      </c>
      <c r="F49" s="310"/>
      <c r="G49" s="207"/>
      <c r="H49" s="95"/>
    </row>
    <row r="50" spans="1:8" ht="51">
      <c r="A50" s="199"/>
      <c r="B50" s="100" t="s">
        <v>168</v>
      </c>
      <c r="C50" s="101" t="s">
        <v>1256</v>
      </c>
      <c r="D50" s="367">
        <f>ROUND('Alim CE Ricavi'!E54,2)</f>
        <v>0</v>
      </c>
      <c r="E50" s="367">
        <f>ROUND('Alim CE Ricavi'!H54,2)</f>
        <v>0</v>
      </c>
      <c r="F50" s="310"/>
      <c r="G50" s="207"/>
      <c r="H50" s="95"/>
    </row>
    <row r="51" spans="1:8" ht="18.75">
      <c r="A51" s="197"/>
      <c r="B51" s="116" t="s">
        <v>169</v>
      </c>
      <c r="C51" s="117" t="s">
        <v>1257</v>
      </c>
      <c r="D51" s="365">
        <f t="shared" ref="D51" si="16">+D52+D53+D54+D55</f>
        <v>0</v>
      </c>
      <c r="E51" s="365">
        <f t="shared" ref="E51" si="17">+E52+E53+E54+E55</f>
        <v>0</v>
      </c>
      <c r="F51" s="63" t="s">
        <v>1835</v>
      </c>
      <c r="G51" s="207"/>
      <c r="H51" s="95"/>
    </row>
    <row r="52" spans="1:8" ht="25.5">
      <c r="A52" s="197"/>
      <c r="B52" s="98" t="s">
        <v>171</v>
      </c>
      <c r="C52" s="99" t="s">
        <v>1258</v>
      </c>
      <c r="D52" s="367">
        <f>ROUND('Alim CE Ricavi'!E57,2)</f>
        <v>0</v>
      </c>
      <c r="E52" s="367">
        <f>ROUND('Alim CE Ricavi'!H57,2)</f>
        <v>0</v>
      </c>
      <c r="F52" s="63"/>
      <c r="G52" s="207"/>
      <c r="H52" s="95"/>
    </row>
    <row r="53" spans="1:8" ht="25.5">
      <c r="A53" s="197"/>
      <c r="B53" s="98" t="s">
        <v>173</v>
      </c>
      <c r="C53" s="99" t="s">
        <v>1259</v>
      </c>
      <c r="D53" s="367">
        <f>ROUND('Alim CE Ricavi'!E59,2)</f>
        <v>0</v>
      </c>
      <c r="E53" s="367">
        <f>ROUND('Alim CE Ricavi'!H59,2)</f>
        <v>0</v>
      </c>
      <c r="F53" s="63"/>
      <c r="G53" s="207"/>
      <c r="H53" s="95"/>
    </row>
    <row r="54" spans="1:8" ht="25.5">
      <c r="A54" s="197"/>
      <c r="B54" s="98" t="s">
        <v>174</v>
      </c>
      <c r="C54" s="99" t="s">
        <v>1260</v>
      </c>
      <c r="D54" s="367">
        <f>ROUND(('Alim CE Ricavi'!E61+'Alim CE Ricavi'!E62),2)</f>
        <v>0</v>
      </c>
      <c r="E54" s="367">
        <f>ROUND(('Alim CE Ricavi'!H61+'Alim CE Ricavi'!H62),2)</f>
        <v>0</v>
      </c>
      <c r="F54" s="63"/>
      <c r="G54" s="207"/>
      <c r="H54" s="95"/>
    </row>
    <row r="55" spans="1:8" ht="18.75">
      <c r="A55" s="197"/>
      <c r="B55" s="98" t="s">
        <v>178</v>
      </c>
      <c r="C55" s="99" t="s">
        <v>1261</v>
      </c>
      <c r="D55" s="367">
        <f>ROUND('Alim CE Ricavi'!E64,2)</f>
        <v>0</v>
      </c>
      <c r="E55" s="367">
        <f>ROUND('Alim CE Ricavi'!H64,2)</f>
        <v>0</v>
      </c>
      <c r="F55" s="63"/>
      <c r="G55" s="207"/>
      <c r="H55" s="95"/>
    </row>
    <row r="56" spans="1:8" ht="18.75">
      <c r="A56" s="197"/>
      <c r="B56" s="116" t="s">
        <v>180</v>
      </c>
      <c r="C56" s="117" t="s">
        <v>1262</v>
      </c>
      <c r="D56" s="365">
        <f>ROUND('Alim CE Ricavi'!E66,2)</f>
        <v>0</v>
      </c>
      <c r="E56" s="365">
        <f>ROUND('Alim CE Ricavi'!H66,2)</f>
        <v>0</v>
      </c>
      <c r="F56" s="63"/>
      <c r="G56" s="207"/>
      <c r="H56" s="95"/>
    </row>
    <row r="57" spans="1:8" ht="25.5">
      <c r="A57" s="197"/>
      <c r="B57" s="121" t="s">
        <v>181</v>
      </c>
      <c r="C57" s="122" t="s">
        <v>1263</v>
      </c>
      <c r="D57" s="364">
        <f t="shared" ref="D57" si="18">+D58+D59</f>
        <v>0</v>
      </c>
      <c r="E57" s="364">
        <f t="shared" ref="E57" si="19">+E58+E59</f>
        <v>0</v>
      </c>
      <c r="F57" s="63" t="s">
        <v>1835</v>
      </c>
      <c r="G57" s="207"/>
      <c r="H57" s="95"/>
    </row>
    <row r="58" spans="1:8" ht="38.25">
      <c r="A58" s="197"/>
      <c r="B58" s="96" t="s">
        <v>183</v>
      </c>
      <c r="C58" s="97" t="s">
        <v>1264</v>
      </c>
      <c r="D58" s="367">
        <f>ROUND('Alim CE Ricavi'!E69,2)</f>
        <v>0</v>
      </c>
      <c r="E58" s="367">
        <f>ROUND('Alim CE Ricavi'!H69,2)</f>
        <v>0</v>
      </c>
      <c r="F58" s="63"/>
      <c r="G58" s="207"/>
      <c r="H58" s="95"/>
    </row>
    <row r="59" spans="1:8" ht="25.5">
      <c r="A59" s="197"/>
      <c r="B59" s="96" t="s">
        <v>185</v>
      </c>
      <c r="C59" s="97" t="s">
        <v>1265</v>
      </c>
      <c r="D59" s="367">
        <f>ROUND('Alim CE Ricavi'!E71,2)</f>
        <v>0</v>
      </c>
      <c r="E59" s="367">
        <f>ROUND('Alim CE Ricavi'!H71,2)</f>
        <v>0</v>
      </c>
      <c r="F59" s="63"/>
      <c r="G59" s="207"/>
      <c r="H59" s="95"/>
    </row>
    <row r="60" spans="1:8" ht="25.5">
      <c r="A60" s="199"/>
      <c r="B60" s="121" t="s">
        <v>186</v>
      </c>
      <c r="C60" s="122" t="s">
        <v>1266</v>
      </c>
      <c r="D60" s="364">
        <f t="shared" ref="D60" si="20">+D61+D62+D63+D64+D65</f>
        <v>14270040.73</v>
      </c>
      <c r="E60" s="364">
        <f t="shared" ref="E60" si="21">+E61+E62+E63+E64+E65</f>
        <v>714601.74</v>
      </c>
      <c r="F60" s="63" t="s">
        <v>1835</v>
      </c>
      <c r="G60" s="207"/>
      <c r="H60" s="95"/>
    </row>
    <row r="61" spans="1:8" ht="38.25">
      <c r="A61" s="199"/>
      <c r="B61" s="96" t="s">
        <v>188</v>
      </c>
      <c r="C61" s="97" t="s">
        <v>1267</v>
      </c>
      <c r="D61" s="367">
        <f>ROUND('Alim CE Ricavi'!E74,2)</f>
        <v>13336758.57</v>
      </c>
      <c r="E61" s="367">
        <f>ROUND('Alim CE Ricavi'!H74,2)</f>
        <v>677835.75</v>
      </c>
      <c r="F61" s="310"/>
      <c r="G61" s="207"/>
      <c r="H61" s="95"/>
    </row>
    <row r="62" spans="1:8" ht="38.25">
      <c r="A62" s="199"/>
      <c r="B62" s="96" t="s">
        <v>190</v>
      </c>
      <c r="C62" s="97" t="s">
        <v>1268</v>
      </c>
      <c r="D62" s="367">
        <f>ROUND('Alim CE Ricavi'!E76,2)</f>
        <v>0</v>
      </c>
      <c r="E62" s="367">
        <f>ROUND('Alim CE Ricavi'!H76,2)</f>
        <v>0</v>
      </c>
      <c r="F62" s="310"/>
      <c r="G62" s="207"/>
      <c r="H62" s="95"/>
    </row>
    <row r="63" spans="1:8" ht="38.25">
      <c r="A63" s="199"/>
      <c r="B63" s="96" t="s">
        <v>192</v>
      </c>
      <c r="C63" s="97" t="s">
        <v>1269</v>
      </c>
      <c r="D63" s="367">
        <f>ROUND('Alim CE Ricavi'!E78,2)</f>
        <v>933282.16</v>
      </c>
      <c r="E63" s="367">
        <f>ROUND('Alim CE Ricavi'!H78,2)</f>
        <v>36765.99</v>
      </c>
      <c r="F63" s="310"/>
      <c r="G63" s="207"/>
      <c r="H63" s="95"/>
    </row>
    <row r="64" spans="1:8" ht="25.5">
      <c r="A64" s="199"/>
      <c r="B64" s="96" t="s">
        <v>194</v>
      </c>
      <c r="C64" s="97" t="s">
        <v>1270</v>
      </c>
      <c r="D64" s="367">
        <f>ROUND('Alim CE Ricavi'!E80,2)</f>
        <v>0</v>
      </c>
      <c r="E64" s="367">
        <f>ROUND('Alim CE Ricavi'!H80,2)</f>
        <v>0</v>
      </c>
      <c r="F64" s="310"/>
      <c r="G64" s="207"/>
      <c r="H64" s="95"/>
    </row>
    <row r="65" spans="1:8" ht="25.5">
      <c r="A65" s="199"/>
      <c r="B65" s="96" t="s">
        <v>196</v>
      </c>
      <c r="C65" s="97" t="s">
        <v>1271</v>
      </c>
      <c r="D65" s="367">
        <f>ROUND('Alim CE Ricavi'!E82,2)</f>
        <v>0</v>
      </c>
      <c r="E65" s="367">
        <f>ROUND('Alim CE Ricavi'!H82,2)</f>
        <v>0</v>
      </c>
      <c r="F65" s="310"/>
      <c r="G65" s="207"/>
      <c r="H65" s="95"/>
    </row>
    <row r="66" spans="1:8" ht="25.5">
      <c r="A66" s="197"/>
      <c r="B66" s="121" t="s">
        <v>1272</v>
      </c>
      <c r="C66" s="122" t="s">
        <v>1273</v>
      </c>
      <c r="D66" s="364">
        <f t="shared" ref="D66" si="22">+D67+D106+D112+D113</f>
        <v>230806</v>
      </c>
      <c r="E66" s="364">
        <f t="shared" ref="E66" si="23">+E67+E106+E112+E113</f>
        <v>234093.42</v>
      </c>
      <c r="F66" s="63" t="s">
        <v>1835</v>
      </c>
      <c r="G66" s="207"/>
      <c r="H66" s="95"/>
    </row>
    <row r="67" spans="1:8" ht="38.25">
      <c r="A67" s="197"/>
      <c r="B67" s="116" t="s">
        <v>197</v>
      </c>
      <c r="C67" s="117" t="s">
        <v>1274</v>
      </c>
      <c r="D67" s="365">
        <f t="shared" ref="D67" si="24">+D68+D84+D85</f>
        <v>7006</v>
      </c>
      <c r="E67" s="365">
        <f t="shared" ref="E67" si="25">+E68+E84+E85</f>
        <v>11492.42</v>
      </c>
      <c r="F67" s="63" t="s">
        <v>1835</v>
      </c>
      <c r="G67" s="207"/>
      <c r="H67" s="95"/>
    </row>
    <row r="68" spans="1:8" ht="38.25">
      <c r="A68" s="197" t="s">
        <v>1248</v>
      </c>
      <c r="B68" s="125" t="s">
        <v>198</v>
      </c>
      <c r="C68" s="126" t="s">
        <v>1275</v>
      </c>
      <c r="D68" s="366">
        <f t="shared" ref="D68" si="26">SUM(D69:D83)</f>
        <v>0</v>
      </c>
      <c r="E68" s="366">
        <f t="shared" ref="E68" si="27">SUM(E69:E83)</f>
        <v>599.41999999999996</v>
      </c>
      <c r="F68" s="63" t="s">
        <v>1835</v>
      </c>
      <c r="G68" s="207"/>
      <c r="H68" s="95"/>
    </row>
    <row r="69" spans="1:8" ht="18.75">
      <c r="A69" s="197" t="s">
        <v>1248</v>
      </c>
      <c r="B69" s="100" t="s">
        <v>200</v>
      </c>
      <c r="C69" s="101" t="s">
        <v>1276</v>
      </c>
      <c r="D69" s="367">
        <f>ROUND(('Alim CE Ricavi'!E87+'Alim CE Ricavi'!E88),2)</f>
        <v>0</v>
      </c>
      <c r="E69" s="367">
        <f>ROUND(('Alim CE Ricavi'!H87+'Alim CE Ricavi'!H88),2)</f>
        <v>0</v>
      </c>
      <c r="F69" s="63"/>
      <c r="G69" s="207"/>
      <c r="H69" s="95"/>
    </row>
    <row r="70" spans="1:8" ht="18.75">
      <c r="A70" s="199" t="s">
        <v>1248</v>
      </c>
      <c r="B70" s="100" t="s">
        <v>202</v>
      </c>
      <c r="C70" s="101" t="s">
        <v>1277</v>
      </c>
      <c r="D70" s="367">
        <f>ROUND(('Alim CE Ricavi'!E90+'Alim CE Ricavi'!E91),2)</f>
        <v>0</v>
      </c>
      <c r="E70" s="367">
        <f>ROUND(('Alim CE Ricavi'!H90+'Alim CE Ricavi'!H91),2)</f>
        <v>0</v>
      </c>
      <c r="F70" s="310"/>
      <c r="G70" s="207"/>
      <c r="H70" s="95"/>
    </row>
    <row r="71" spans="1:8" ht="25.5">
      <c r="A71" s="199" t="s">
        <v>1248</v>
      </c>
      <c r="B71" s="100" t="s">
        <v>204</v>
      </c>
      <c r="C71" s="101" t="s">
        <v>1278</v>
      </c>
      <c r="D71" s="367">
        <f>ROUND('Alim CE Ricavi'!E93,2)</f>
        <v>0</v>
      </c>
      <c r="E71" s="367">
        <f>ROUND('Alim CE Ricavi'!H93,2)</f>
        <v>0</v>
      </c>
      <c r="F71" s="310"/>
      <c r="G71" s="207"/>
      <c r="H71" s="95"/>
    </row>
    <row r="72" spans="1:8" ht="25.5">
      <c r="A72" s="199" t="s">
        <v>1248</v>
      </c>
      <c r="B72" s="100" t="s">
        <v>205</v>
      </c>
      <c r="C72" s="101" t="s">
        <v>1279</v>
      </c>
      <c r="D72" s="367">
        <f>ROUND('Alim CE Ricavi'!E95,2)</f>
        <v>0</v>
      </c>
      <c r="E72" s="367">
        <f>ROUND('Alim CE Ricavi'!H95,2)</f>
        <v>0</v>
      </c>
      <c r="F72" s="310"/>
      <c r="G72" s="207"/>
      <c r="H72" s="95"/>
    </row>
    <row r="73" spans="1:8" ht="18.75">
      <c r="A73" s="199" t="s">
        <v>1248</v>
      </c>
      <c r="B73" s="100" t="s">
        <v>206</v>
      </c>
      <c r="C73" s="101" t="s">
        <v>1280</v>
      </c>
      <c r="D73" s="367">
        <f>ROUND('Alim CE Ricavi'!E97,2)</f>
        <v>0</v>
      </c>
      <c r="E73" s="367">
        <f>ROUND('Alim CE Ricavi'!H97,2)</f>
        <v>0</v>
      </c>
      <c r="F73" s="310"/>
      <c r="G73" s="207"/>
      <c r="H73" s="95"/>
    </row>
    <row r="74" spans="1:8" ht="25.5">
      <c r="A74" s="199" t="s">
        <v>1248</v>
      </c>
      <c r="B74" s="100" t="s">
        <v>207</v>
      </c>
      <c r="C74" s="101" t="s">
        <v>1281</v>
      </c>
      <c r="D74" s="367">
        <f>ROUND('Alim CE Ricavi'!E99,2)</f>
        <v>0</v>
      </c>
      <c r="E74" s="367">
        <f>ROUND('Alim CE Ricavi'!H99,2)</f>
        <v>0</v>
      </c>
      <c r="F74" s="310"/>
      <c r="G74" s="207"/>
      <c r="H74" s="95"/>
    </row>
    <row r="75" spans="1:8" ht="18.75">
      <c r="A75" s="199" t="s">
        <v>1248</v>
      </c>
      <c r="B75" s="100" t="s">
        <v>208</v>
      </c>
      <c r="C75" s="101" t="s">
        <v>1282</v>
      </c>
      <c r="D75" s="367">
        <f>ROUND('Alim CE Ricavi'!E101,2)</f>
        <v>0</v>
      </c>
      <c r="E75" s="367">
        <f>ROUND('Alim CE Ricavi'!H101,2)</f>
        <v>0</v>
      </c>
      <c r="F75" s="310"/>
      <c r="G75" s="207"/>
      <c r="H75" s="95"/>
    </row>
    <row r="76" spans="1:8" ht="18.75">
      <c r="A76" s="199" t="s">
        <v>1248</v>
      </c>
      <c r="B76" s="100" t="s">
        <v>209</v>
      </c>
      <c r="C76" s="101" t="s">
        <v>1283</v>
      </c>
      <c r="D76" s="367">
        <f>ROUND('Alim CE Ricavi'!E103,2)</f>
        <v>0</v>
      </c>
      <c r="E76" s="367">
        <f>ROUND('Alim CE Ricavi'!H103,2)</f>
        <v>0</v>
      </c>
      <c r="F76" s="310"/>
      <c r="G76" s="207"/>
      <c r="H76" s="95"/>
    </row>
    <row r="77" spans="1:8" ht="18.75">
      <c r="A77" s="199" t="s">
        <v>1248</v>
      </c>
      <c r="B77" s="100" t="s">
        <v>210</v>
      </c>
      <c r="C77" s="101" t="s">
        <v>1284</v>
      </c>
      <c r="D77" s="367">
        <f>ROUND('Alim CE Ricavi'!E105,2)</f>
        <v>0</v>
      </c>
      <c r="E77" s="367">
        <f>ROUND('Alim CE Ricavi'!H105,2)</f>
        <v>0</v>
      </c>
      <c r="F77" s="310"/>
      <c r="G77" s="207"/>
      <c r="H77" s="95"/>
    </row>
    <row r="78" spans="1:8" ht="18.75">
      <c r="A78" s="199" t="s">
        <v>1248</v>
      </c>
      <c r="B78" s="100" t="s">
        <v>211</v>
      </c>
      <c r="C78" s="101" t="s">
        <v>1285</v>
      </c>
      <c r="D78" s="367">
        <f>ROUND('Alim CE Ricavi'!E107,2)</f>
        <v>0</v>
      </c>
      <c r="E78" s="367">
        <f>ROUND('Alim CE Ricavi'!H107,2)</f>
        <v>0</v>
      </c>
      <c r="F78" s="310"/>
      <c r="G78" s="207"/>
      <c r="H78" s="95"/>
    </row>
    <row r="79" spans="1:8" ht="18.75">
      <c r="A79" s="199" t="s">
        <v>1248</v>
      </c>
      <c r="B79" s="100" t="s">
        <v>212</v>
      </c>
      <c r="C79" s="101" t="s">
        <v>1286</v>
      </c>
      <c r="D79" s="367">
        <f>ROUND('Alim CE Ricavi'!E109,2)</f>
        <v>0</v>
      </c>
      <c r="E79" s="367">
        <f>ROUND('Alim CE Ricavi'!H109,2)</f>
        <v>0</v>
      </c>
      <c r="F79" s="311"/>
      <c r="G79" s="207"/>
      <c r="H79" s="95"/>
    </row>
    <row r="80" spans="1:8" ht="25.5">
      <c r="A80" s="197" t="s">
        <v>1248</v>
      </c>
      <c r="B80" s="100" t="s">
        <v>213</v>
      </c>
      <c r="C80" s="101" t="s">
        <v>1287</v>
      </c>
      <c r="D80" s="367">
        <f>ROUND('Alim CE Ricavi'!E111,2)</f>
        <v>0</v>
      </c>
      <c r="E80" s="367">
        <f>ROUND('Alim CE Ricavi'!H111,2)</f>
        <v>0</v>
      </c>
      <c r="F80" s="311"/>
      <c r="G80" s="207"/>
      <c r="H80" s="95"/>
    </row>
    <row r="81" spans="1:8" ht="25.5">
      <c r="A81" s="197" t="s">
        <v>1248</v>
      </c>
      <c r="B81" s="100" t="s">
        <v>214</v>
      </c>
      <c r="C81" s="101" t="s">
        <v>1288</v>
      </c>
      <c r="D81" s="367">
        <f>ROUND('Alim CE Ricavi'!E113,2)</f>
        <v>0</v>
      </c>
      <c r="E81" s="367">
        <f>ROUND('Alim CE Ricavi'!H113,2)</f>
        <v>0</v>
      </c>
      <c r="F81" s="311"/>
      <c r="G81" s="207"/>
      <c r="H81" s="95"/>
    </row>
    <row r="82" spans="1:8" ht="25.5">
      <c r="A82" s="197" t="s">
        <v>1248</v>
      </c>
      <c r="B82" s="100" t="s">
        <v>215</v>
      </c>
      <c r="C82" s="101" t="s">
        <v>1289</v>
      </c>
      <c r="D82" s="367">
        <f>ROUND('Alim CE Ricavi'!E115,2)</f>
        <v>0</v>
      </c>
      <c r="E82" s="367">
        <f>ROUND('Alim CE Ricavi'!H115,2)</f>
        <v>0</v>
      </c>
      <c r="F82" s="311"/>
      <c r="G82" s="207"/>
      <c r="H82" s="95"/>
    </row>
    <row r="83" spans="1:8" ht="25.5">
      <c r="A83" s="197" t="s">
        <v>1248</v>
      </c>
      <c r="B83" s="100" t="s">
        <v>216</v>
      </c>
      <c r="C83" s="101" t="s">
        <v>1290</v>
      </c>
      <c r="D83" s="367">
        <f>ROUND(('Alim CE Ricavi'!E117+'Alim CE Ricavi'!E118),2)</f>
        <v>0</v>
      </c>
      <c r="E83" s="367">
        <f>ROUND(('Alim CE Ricavi'!H117+'Alim CE Ricavi'!H118),2)</f>
        <v>599.41999999999996</v>
      </c>
      <c r="F83" s="311"/>
      <c r="G83" s="207"/>
      <c r="H83" s="95"/>
    </row>
    <row r="84" spans="1:8" ht="25.5">
      <c r="A84" s="197"/>
      <c r="B84" s="98" t="s">
        <v>218</v>
      </c>
      <c r="C84" s="99" t="s">
        <v>1291</v>
      </c>
      <c r="D84" s="367">
        <f>ROUND('Alim CE Ricavi'!E120,2)</f>
        <v>7006</v>
      </c>
      <c r="E84" s="367">
        <f>ROUND('Alim CE Ricavi'!H120,2)</f>
        <v>10893</v>
      </c>
      <c r="F84" s="63"/>
      <c r="G84" s="207"/>
      <c r="H84" s="95"/>
    </row>
    <row r="85" spans="1:8" ht="25.5">
      <c r="A85" s="197"/>
      <c r="B85" s="125" t="s">
        <v>219</v>
      </c>
      <c r="C85" s="126" t="s">
        <v>1292</v>
      </c>
      <c r="D85" s="366">
        <f t="shared" ref="D85" si="28">SUM(D86:D100,D103,D104,D105)</f>
        <v>0</v>
      </c>
      <c r="E85" s="366">
        <f t="shared" ref="E85" si="29">SUM(E86:E100,E103,E104,E105)</f>
        <v>0</v>
      </c>
      <c r="F85" s="63" t="s">
        <v>1835</v>
      </c>
      <c r="G85" s="207"/>
      <c r="H85" s="95"/>
    </row>
    <row r="86" spans="1:8" ht="18.75">
      <c r="A86" s="197" t="s">
        <v>1293</v>
      </c>
      <c r="B86" s="100" t="s">
        <v>220</v>
      </c>
      <c r="C86" s="101" t="s">
        <v>1294</v>
      </c>
      <c r="D86" s="367">
        <f>ROUND('Alim CE Ricavi'!E123,2)</f>
        <v>0</v>
      </c>
      <c r="E86" s="367">
        <f>ROUND('Alim CE Ricavi'!H123,2)</f>
        <v>0</v>
      </c>
      <c r="F86" s="63"/>
      <c r="G86" s="207"/>
      <c r="H86" s="95"/>
    </row>
    <row r="87" spans="1:8" ht="18.75">
      <c r="A87" s="197" t="s">
        <v>1293</v>
      </c>
      <c r="B87" s="100" t="s">
        <v>223</v>
      </c>
      <c r="C87" s="101" t="s">
        <v>1295</v>
      </c>
      <c r="D87" s="367">
        <f>ROUND('Alim CE Ricavi'!E125,2)</f>
        <v>0</v>
      </c>
      <c r="E87" s="367">
        <f>ROUND('Alim CE Ricavi'!H125,2)</f>
        <v>0</v>
      </c>
      <c r="F87" s="63"/>
      <c r="G87" s="207"/>
      <c r="H87" s="95"/>
    </row>
    <row r="88" spans="1:8" ht="25.5">
      <c r="A88" s="197" t="s">
        <v>1293</v>
      </c>
      <c r="B88" s="100" t="s">
        <v>225</v>
      </c>
      <c r="C88" s="101" t="s">
        <v>1296</v>
      </c>
      <c r="D88" s="367">
        <f>ROUND('Alim CE Ricavi'!E127,2)</f>
        <v>0</v>
      </c>
      <c r="E88" s="367">
        <f>ROUND('Alim CE Ricavi'!H127,2)</f>
        <v>0</v>
      </c>
      <c r="F88" s="310"/>
      <c r="G88" s="207"/>
      <c r="H88" s="95"/>
    </row>
    <row r="89" spans="1:8" ht="25.5">
      <c r="A89" s="199" t="s">
        <v>1297</v>
      </c>
      <c r="B89" s="100" t="s">
        <v>226</v>
      </c>
      <c r="C89" s="101" t="s">
        <v>1298</v>
      </c>
      <c r="D89" s="367">
        <f>ROUND('Alim CE Ricavi'!E129,2)</f>
        <v>0</v>
      </c>
      <c r="E89" s="367">
        <f>ROUND('Alim CE Ricavi'!H129,2)</f>
        <v>0</v>
      </c>
      <c r="F89" s="310"/>
      <c r="G89" s="207"/>
      <c r="H89" s="95"/>
    </row>
    <row r="90" spans="1:8" ht="18.75">
      <c r="A90" s="199" t="s">
        <v>1293</v>
      </c>
      <c r="B90" s="100" t="s">
        <v>227</v>
      </c>
      <c r="C90" s="101" t="s">
        <v>1299</v>
      </c>
      <c r="D90" s="367">
        <f>ROUND('Alim CE Ricavi'!E131,2)</f>
        <v>0</v>
      </c>
      <c r="E90" s="367">
        <f>ROUND('Alim CE Ricavi'!H131,2)</f>
        <v>0</v>
      </c>
      <c r="F90" s="63"/>
      <c r="G90" s="207"/>
      <c r="H90" s="95"/>
    </row>
    <row r="91" spans="1:8" ht="25.5">
      <c r="A91" s="199" t="s">
        <v>1293</v>
      </c>
      <c r="B91" s="100" t="s">
        <v>229</v>
      </c>
      <c r="C91" s="101" t="s">
        <v>1300</v>
      </c>
      <c r="D91" s="367">
        <f>ROUND('Alim CE Ricavi'!E133,2)</f>
        <v>0</v>
      </c>
      <c r="E91" s="367">
        <f>ROUND('Alim CE Ricavi'!H133,2)</f>
        <v>0</v>
      </c>
      <c r="F91" s="310"/>
      <c r="G91" s="207"/>
      <c r="H91" s="95"/>
    </row>
    <row r="92" spans="1:8" ht="25.5">
      <c r="A92" s="199" t="s">
        <v>1293</v>
      </c>
      <c r="B92" s="100" t="s">
        <v>231</v>
      </c>
      <c r="C92" s="101" t="s">
        <v>1301</v>
      </c>
      <c r="D92" s="367">
        <f>ROUND('Alim CE Ricavi'!E135,2)</f>
        <v>0</v>
      </c>
      <c r="E92" s="367">
        <f>ROUND('Alim CE Ricavi'!H135,2)</f>
        <v>0</v>
      </c>
      <c r="F92" s="310"/>
      <c r="G92" s="207"/>
      <c r="H92" s="95"/>
    </row>
    <row r="93" spans="1:8" ht="18.75">
      <c r="A93" s="199" t="s">
        <v>1293</v>
      </c>
      <c r="B93" s="100" t="s">
        <v>233</v>
      </c>
      <c r="C93" s="101" t="s">
        <v>1302</v>
      </c>
      <c r="D93" s="367">
        <f>ROUND('Alim CE Ricavi'!E137,2)</f>
        <v>0</v>
      </c>
      <c r="E93" s="367">
        <f>ROUND('Alim CE Ricavi'!H137,2)</f>
        <v>0</v>
      </c>
      <c r="F93" s="310"/>
      <c r="G93" s="207"/>
      <c r="H93" s="95"/>
    </row>
    <row r="94" spans="1:8" ht="25.5">
      <c r="A94" s="199" t="s">
        <v>1293</v>
      </c>
      <c r="B94" s="100" t="s">
        <v>235</v>
      </c>
      <c r="C94" s="101" t="s">
        <v>1303</v>
      </c>
      <c r="D94" s="367">
        <f>ROUND('Alim CE Ricavi'!E139,2)</f>
        <v>0</v>
      </c>
      <c r="E94" s="367">
        <f>ROUND('Alim CE Ricavi'!H139,2)</f>
        <v>0</v>
      </c>
      <c r="F94" s="310"/>
      <c r="G94" s="207"/>
      <c r="H94" s="95"/>
    </row>
    <row r="95" spans="1:8" ht="25.5">
      <c r="A95" s="199" t="s">
        <v>1297</v>
      </c>
      <c r="B95" s="100" t="s">
        <v>237</v>
      </c>
      <c r="C95" s="101" t="s">
        <v>1304</v>
      </c>
      <c r="D95" s="367">
        <f>ROUND('Alim CE Ricavi'!E141,2)</f>
        <v>0</v>
      </c>
      <c r="E95" s="367">
        <f>ROUND('Alim CE Ricavi'!H141,2)</f>
        <v>0</v>
      </c>
      <c r="F95" s="310"/>
      <c r="G95" s="207"/>
      <c r="H95" s="95"/>
    </row>
    <row r="96" spans="1:8" ht="25.5">
      <c r="A96" s="199" t="s">
        <v>1297</v>
      </c>
      <c r="B96" s="100" t="s">
        <v>239</v>
      </c>
      <c r="C96" s="101" t="s">
        <v>1305</v>
      </c>
      <c r="D96" s="367">
        <f>ROUND('Alim CE Ricavi'!E143,2)</f>
        <v>0</v>
      </c>
      <c r="E96" s="367">
        <f>ROUND('Alim CE Ricavi'!H143,2)</f>
        <v>0</v>
      </c>
      <c r="F96" s="310"/>
      <c r="G96" s="207"/>
      <c r="H96" s="95"/>
    </row>
    <row r="97" spans="1:8" ht="25.5">
      <c r="A97" s="199" t="s">
        <v>1293</v>
      </c>
      <c r="B97" s="100" t="s">
        <v>241</v>
      </c>
      <c r="C97" s="101" t="s">
        <v>1306</v>
      </c>
      <c r="D97" s="367">
        <f>ROUND('Alim CE Ricavi'!E145,2)</f>
        <v>0</v>
      </c>
      <c r="E97" s="367">
        <f>ROUND('Alim CE Ricavi'!H145,2)</f>
        <v>0</v>
      </c>
      <c r="F97" s="310"/>
      <c r="G97" s="207"/>
      <c r="H97" s="95"/>
    </row>
    <row r="98" spans="1:8" ht="25.5">
      <c r="A98" s="199" t="s">
        <v>1293</v>
      </c>
      <c r="B98" s="100" t="s">
        <v>242</v>
      </c>
      <c r="C98" s="101" t="s">
        <v>1307</v>
      </c>
      <c r="D98" s="367">
        <f>ROUND('Alim CE Ricavi'!E147,2)</f>
        <v>0</v>
      </c>
      <c r="E98" s="367">
        <f>ROUND('Alim CE Ricavi'!H147,2)</f>
        <v>0</v>
      </c>
      <c r="F98" s="310"/>
      <c r="G98" s="207"/>
      <c r="H98" s="95"/>
    </row>
    <row r="99" spans="1:8" ht="25.5">
      <c r="A99" s="199" t="s">
        <v>1293</v>
      </c>
      <c r="B99" s="100" t="s">
        <v>245</v>
      </c>
      <c r="C99" s="101" t="s">
        <v>1308</v>
      </c>
      <c r="D99" s="367">
        <f>ROUND('Alim CE Ricavi'!E149,2)</f>
        <v>0</v>
      </c>
      <c r="E99" s="367">
        <f>ROUND('Alim CE Ricavi'!H149,2)</f>
        <v>0</v>
      </c>
      <c r="F99" s="310"/>
      <c r="G99" s="207"/>
      <c r="H99" s="95"/>
    </row>
    <row r="100" spans="1:8" ht="38.25">
      <c r="A100" s="199" t="s">
        <v>1297</v>
      </c>
      <c r="B100" s="127" t="s">
        <v>246</v>
      </c>
      <c r="C100" s="128" t="s">
        <v>1309</v>
      </c>
      <c r="D100" s="368">
        <f t="shared" ref="D100" si="30">+D101+D102</f>
        <v>0</v>
      </c>
      <c r="E100" s="368">
        <f t="shared" ref="E100" si="31">+E101+E102</f>
        <v>0</v>
      </c>
      <c r="F100" s="63" t="s">
        <v>1835</v>
      </c>
      <c r="G100" s="207"/>
      <c r="H100" s="95"/>
    </row>
    <row r="101" spans="1:8" ht="25.5">
      <c r="A101" s="199" t="s">
        <v>1297</v>
      </c>
      <c r="B101" s="98" t="s">
        <v>248</v>
      </c>
      <c r="C101" s="99" t="s">
        <v>1310</v>
      </c>
      <c r="D101" s="367">
        <f>ROUND('Alim CE Ricavi'!E152,2)</f>
        <v>0</v>
      </c>
      <c r="E101" s="367">
        <f>ROUND('Alim CE Ricavi'!H152,2)</f>
        <v>0</v>
      </c>
      <c r="F101" s="310"/>
      <c r="G101" s="207"/>
      <c r="H101" s="95"/>
    </row>
    <row r="102" spans="1:8" ht="38.25">
      <c r="A102" s="199" t="s">
        <v>1297</v>
      </c>
      <c r="B102" s="98" t="s">
        <v>250</v>
      </c>
      <c r="C102" s="99" t="s">
        <v>1311</v>
      </c>
      <c r="D102" s="367">
        <f>ROUND(('Alim CE Ricavi'!E154+'Alim CE Ricavi'!E155+'Alim CE Ricavi'!E156+'Alim CE Ricavi'!E157),2)</f>
        <v>0</v>
      </c>
      <c r="E102" s="367">
        <f>ROUND(('Alim CE Ricavi'!H154+'Alim CE Ricavi'!H155+'Alim CE Ricavi'!H156+'Alim CE Ricavi'!H157),2)</f>
        <v>0</v>
      </c>
      <c r="F102" s="310"/>
      <c r="G102" s="207"/>
      <c r="H102" s="95"/>
    </row>
    <row r="103" spans="1:8" ht="25.5">
      <c r="A103" s="199"/>
      <c r="B103" s="100" t="s">
        <v>252</v>
      </c>
      <c r="C103" s="101" t="s">
        <v>1312</v>
      </c>
      <c r="D103" s="367">
        <f>ROUND('Alim CE Ricavi'!E159,2)</f>
        <v>0</v>
      </c>
      <c r="E103" s="367">
        <f>ROUND('Alim CE Ricavi'!H159,2)</f>
        <v>0</v>
      </c>
      <c r="F103" s="310"/>
      <c r="G103" s="207"/>
      <c r="H103" s="95"/>
    </row>
    <row r="104" spans="1:8" ht="25.5">
      <c r="A104" s="197" t="s">
        <v>1248</v>
      </c>
      <c r="B104" s="100" t="s">
        <v>254</v>
      </c>
      <c r="C104" s="101" t="s">
        <v>1313</v>
      </c>
      <c r="D104" s="367">
        <f>ROUND('Alim CE Ricavi'!E161,2)</f>
        <v>0</v>
      </c>
      <c r="E104" s="367">
        <f>ROUND('Alim CE Ricavi'!H161,2)</f>
        <v>0</v>
      </c>
      <c r="F104" s="310"/>
      <c r="G104" s="207"/>
      <c r="H104" s="95"/>
    </row>
    <row r="105" spans="1:8" ht="38.25">
      <c r="A105" s="197" t="s">
        <v>1297</v>
      </c>
      <c r="B105" s="100" t="s">
        <v>256</v>
      </c>
      <c r="C105" s="101" t="s">
        <v>1314</v>
      </c>
      <c r="D105" s="367">
        <f>ROUND('Alim CE Ricavi'!E163,2)</f>
        <v>0</v>
      </c>
      <c r="E105" s="367">
        <f>ROUND('Alim CE Ricavi'!H163,2)</f>
        <v>0</v>
      </c>
      <c r="F105" s="310"/>
      <c r="G105" s="207"/>
      <c r="H105" s="95"/>
    </row>
    <row r="106" spans="1:8" ht="51">
      <c r="A106" s="200" t="s">
        <v>1293</v>
      </c>
      <c r="B106" s="116" t="s">
        <v>257</v>
      </c>
      <c r="C106" s="117" t="s">
        <v>1315</v>
      </c>
      <c r="D106" s="365">
        <f t="shared" ref="D106" si="32">SUM(D107:D111)</f>
        <v>0</v>
      </c>
      <c r="E106" s="365">
        <f t="shared" ref="E106" si="33">SUM(E107:E111)</f>
        <v>0</v>
      </c>
      <c r="F106" s="63" t="s">
        <v>1835</v>
      </c>
      <c r="G106" s="207"/>
      <c r="H106" s="95"/>
    </row>
    <row r="107" spans="1:8" ht="25.5">
      <c r="A107" s="199" t="s">
        <v>1293</v>
      </c>
      <c r="B107" s="100" t="s">
        <v>259</v>
      </c>
      <c r="C107" s="101" t="s">
        <v>1316</v>
      </c>
      <c r="D107" s="367">
        <f>ROUND('Alim CE Ricavi'!E166,2)</f>
        <v>0</v>
      </c>
      <c r="E107" s="367">
        <f>ROUND('Alim CE Ricavi'!H166,2)</f>
        <v>0</v>
      </c>
      <c r="F107" s="310"/>
      <c r="G107" s="207"/>
      <c r="H107" s="95"/>
    </row>
    <row r="108" spans="1:8" ht="25.5">
      <c r="A108" s="199" t="s">
        <v>1293</v>
      </c>
      <c r="B108" s="98" t="s">
        <v>261</v>
      </c>
      <c r="C108" s="99" t="s">
        <v>1317</v>
      </c>
      <c r="D108" s="367">
        <f>ROUND('Alim CE Ricavi'!E168,2)</f>
        <v>0</v>
      </c>
      <c r="E108" s="367">
        <f>ROUND('Alim CE Ricavi'!H168,2)</f>
        <v>0</v>
      </c>
      <c r="F108" s="310"/>
      <c r="G108" s="207"/>
      <c r="H108" s="95"/>
    </row>
    <row r="109" spans="1:8" ht="38.25">
      <c r="A109" s="199" t="s">
        <v>1293</v>
      </c>
      <c r="B109" s="98" t="s">
        <v>262</v>
      </c>
      <c r="C109" s="99" t="s">
        <v>1318</v>
      </c>
      <c r="D109" s="367">
        <f>ROUND('Alim CE Ricavi'!E170,2)</f>
        <v>0</v>
      </c>
      <c r="E109" s="367">
        <f>ROUND('Alim CE Ricavi'!H170,2)</f>
        <v>0</v>
      </c>
      <c r="F109" s="310"/>
      <c r="G109" s="207"/>
      <c r="H109" s="95"/>
    </row>
    <row r="110" spans="1:8" ht="25.5">
      <c r="A110" s="197" t="s">
        <v>1293</v>
      </c>
      <c r="B110" s="98" t="s">
        <v>264</v>
      </c>
      <c r="C110" s="99" t="s">
        <v>1319</v>
      </c>
      <c r="D110" s="367">
        <f>ROUND('Alim CE Ricavi'!E172,2)</f>
        <v>0</v>
      </c>
      <c r="E110" s="367">
        <f>ROUND('Alim CE Ricavi'!H172,2)</f>
        <v>0</v>
      </c>
      <c r="F110" s="310"/>
      <c r="G110" s="207"/>
      <c r="H110" s="95"/>
    </row>
    <row r="111" spans="1:8" ht="38.25">
      <c r="A111" s="197" t="s">
        <v>1293</v>
      </c>
      <c r="B111" s="98" t="s">
        <v>266</v>
      </c>
      <c r="C111" s="99" t="s">
        <v>1320</v>
      </c>
      <c r="D111" s="367">
        <f>ROUND('Alim CE Ricavi'!E174,2)</f>
        <v>0</v>
      </c>
      <c r="E111" s="367">
        <f>ROUND('Alim CE Ricavi'!H174,2)</f>
        <v>0</v>
      </c>
      <c r="F111" s="310"/>
      <c r="G111" s="207"/>
      <c r="H111" s="95"/>
    </row>
    <row r="112" spans="1:8" ht="25.5">
      <c r="A112" s="197"/>
      <c r="B112" s="116" t="s">
        <v>267</v>
      </c>
      <c r="C112" s="117" t="s">
        <v>1321</v>
      </c>
      <c r="D112" s="365">
        <f>+ROUND(SUM('Alim CE Ricavi'!E177:E211),2)</f>
        <v>223800</v>
      </c>
      <c r="E112" s="365">
        <f>+ROUND(SUM('Alim CE Ricavi'!H177:H211),2)</f>
        <v>222601</v>
      </c>
      <c r="F112" s="63"/>
      <c r="G112" s="207"/>
      <c r="H112" s="95"/>
    </row>
    <row r="113" spans="1:8" ht="25.5">
      <c r="A113" s="197"/>
      <c r="B113" s="116" t="s">
        <v>1322</v>
      </c>
      <c r="C113" s="117" t="s">
        <v>1323</v>
      </c>
      <c r="D113" s="365">
        <f t="shared" ref="D113" si="34">SUM(D114:D120)</f>
        <v>0</v>
      </c>
      <c r="E113" s="365">
        <f t="shared" ref="E113" si="35">SUM(E114:E120)</f>
        <v>0</v>
      </c>
      <c r="F113" s="63" t="s">
        <v>1835</v>
      </c>
      <c r="G113" s="207"/>
      <c r="H113" s="95"/>
    </row>
    <row r="114" spans="1:8" ht="25.5">
      <c r="A114" s="197"/>
      <c r="B114" s="98" t="s">
        <v>302</v>
      </c>
      <c r="C114" s="99" t="s">
        <v>1324</v>
      </c>
      <c r="D114" s="367">
        <f>ROUND('Alim CE Ricavi'!E214,2)</f>
        <v>0</v>
      </c>
      <c r="E114" s="367">
        <f>ROUND('Alim CE Ricavi'!H214,2)</f>
        <v>0</v>
      </c>
      <c r="F114" s="63"/>
      <c r="G114" s="207"/>
      <c r="H114" s="95"/>
    </row>
    <row r="115" spans="1:8" ht="25.5">
      <c r="A115" s="197"/>
      <c r="B115" s="98" t="s">
        <v>304</v>
      </c>
      <c r="C115" s="99" t="s">
        <v>1325</v>
      </c>
      <c r="D115" s="367">
        <f>ROUND('Alim CE Ricavi'!E216,2)</f>
        <v>0</v>
      </c>
      <c r="E115" s="367">
        <f>ROUND('Alim CE Ricavi'!H216,2)</f>
        <v>0</v>
      </c>
      <c r="F115" s="63"/>
      <c r="G115" s="207"/>
      <c r="H115" s="95"/>
    </row>
    <row r="116" spans="1:8" ht="25.5">
      <c r="A116" s="197"/>
      <c r="B116" s="98" t="s">
        <v>306</v>
      </c>
      <c r="C116" s="99" t="s">
        <v>1326</v>
      </c>
      <c r="D116" s="367">
        <f>ROUND('Alim CE Ricavi'!E218,2)</f>
        <v>0</v>
      </c>
      <c r="E116" s="367">
        <f>ROUND('Alim CE Ricavi'!H218,2)</f>
        <v>0</v>
      </c>
      <c r="F116" s="63"/>
      <c r="G116" s="207"/>
      <c r="H116" s="95"/>
    </row>
    <row r="117" spans="1:8" ht="25.5">
      <c r="A117" s="197"/>
      <c r="B117" s="98" t="s">
        <v>308</v>
      </c>
      <c r="C117" s="99" t="s">
        <v>1327</v>
      </c>
      <c r="D117" s="367">
        <f>ROUND('Alim CE Ricavi'!E220,2)</f>
        <v>0</v>
      </c>
      <c r="E117" s="367">
        <f>ROUND('Alim CE Ricavi'!H220,2)</f>
        <v>0</v>
      </c>
      <c r="F117" s="63"/>
      <c r="G117" s="207"/>
      <c r="H117" s="95"/>
    </row>
    <row r="118" spans="1:8" ht="38.25">
      <c r="A118" s="197" t="s">
        <v>1248</v>
      </c>
      <c r="B118" s="98" t="s">
        <v>310</v>
      </c>
      <c r="C118" s="99" t="s">
        <v>1328</v>
      </c>
      <c r="D118" s="367">
        <f>ROUND('Alim CE Ricavi'!E222,2)</f>
        <v>0</v>
      </c>
      <c r="E118" s="367">
        <f>ROUND('Alim CE Ricavi'!H222,2)</f>
        <v>0</v>
      </c>
      <c r="F118" s="63"/>
      <c r="G118" s="207"/>
      <c r="H118" s="95"/>
    </row>
    <row r="119" spans="1:8" ht="18.75">
      <c r="A119" s="197"/>
      <c r="B119" s="98" t="s">
        <v>312</v>
      </c>
      <c r="C119" s="99" t="s">
        <v>1329</v>
      </c>
      <c r="D119" s="367">
        <f>ROUND('Alim CE Ricavi'!E224,2)</f>
        <v>0</v>
      </c>
      <c r="E119" s="367">
        <f>ROUND('Alim CE Ricavi'!H224,2)</f>
        <v>0</v>
      </c>
      <c r="F119" s="63"/>
      <c r="G119" s="207"/>
      <c r="H119" s="95"/>
    </row>
    <row r="120" spans="1:8" ht="25.5">
      <c r="A120" s="197" t="s">
        <v>1248</v>
      </c>
      <c r="B120" s="98" t="s">
        <v>314</v>
      </c>
      <c r="C120" s="99" t="s">
        <v>1330</v>
      </c>
      <c r="D120" s="367">
        <f>ROUND('Alim CE Ricavi'!E226,2)</f>
        <v>0</v>
      </c>
      <c r="E120" s="367">
        <f>ROUND('Alim CE Ricavi'!H226,2)</f>
        <v>0</v>
      </c>
      <c r="F120" s="63"/>
      <c r="G120" s="207"/>
      <c r="H120" s="95"/>
    </row>
    <row r="121" spans="1:8" ht="18.75">
      <c r="A121" s="197"/>
      <c r="B121" s="121" t="s">
        <v>1331</v>
      </c>
      <c r="C121" s="122" t="s">
        <v>1332</v>
      </c>
      <c r="D121" s="364">
        <f t="shared" ref="D121" si="36">+D122+D123+D126+D131+D135</f>
        <v>479411522.32000005</v>
      </c>
      <c r="E121" s="364">
        <f t="shared" ref="E121" si="37">+E122+E123+E126+E131+E135</f>
        <v>443414176.61999989</v>
      </c>
      <c r="F121" s="63"/>
      <c r="G121" s="207"/>
      <c r="H121" s="95"/>
    </row>
    <row r="122" spans="1:8" ht="18.75">
      <c r="A122" s="197"/>
      <c r="B122" s="96" t="s">
        <v>316</v>
      </c>
      <c r="C122" s="97" t="s">
        <v>1333</v>
      </c>
      <c r="D122" s="367">
        <f>ROUND('Alim CE Ricavi'!E229,2)</f>
        <v>193021.49</v>
      </c>
      <c r="E122" s="367">
        <f>ROUND('Alim CE Ricavi'!H229,2)</f>
        <v>1106.94</v>
      </c>
      <c r="F122" s="63"/>
      <c r="G122" s="207"/>
      <c r="H122" s="95"/>
    </row>
    <row r="123" spans="1:8" ht="18.75">
      <c r="A123" s="201"/>
      <c r="B123" s="116" t="s">
        <v>1334</v>
      </c>
      <c r="C123" s="117" t="s">
        <v>1335</v>
      </c>
      <c r="D123" s="365">
        <f t="shared" ref="D123" si="38">+D124+D125</f>
        <v>0</v>
      </c>
      <c r="E123" s="365">
        <f t="shared" ref="E123" si="39">+E124+E125</f>
        <v>0</v>
      </c>
      <c r="F123" s="63" t="s">
        <v>1835</v>
      </c>
      <c r="G123" s="207"/>
      <c r="H123" s="95"/>
    </row>
    <row r="124" spans="1:8" ht="25.5">
      <c r="A124" s="201"/>
      <c r="B124" s="98" t="s">
        <v>318</v>
      </c>
      <c r="C124" s="99" t="s">
        <v>1336</v>
      </c>
      <c r="D124" s="367">
        <f>ROUND('Alim CE Ricavi'!E232,2)</f>
        <v>0</v>
      </c>
      <c r="E124" s="367">
        <f>ROUND('Alim CE Ricavi'!H232,2)</f>
        <v>0</v>
      </c>
      <c r="F124" s="63"/>
      <c r="G124" s="207"/>
      <c r="H124" s="95"/>
    </row>
    <row r="125" spans="1:8" ht="25.5">
      <c r="A125" s="201"/>
      <c r="B125" s="98" t="s">
        <v>320</v>
      </c>
      <c r="C125" s="99" t="s">
        <v>1337</v>
      </c>
      <c r="D125" s="367">
        <f>ROUND('Alim CE Ricavi'!E234,2)</f>
        <v>0</v>
      </c>
      <c r="E125" s="367">
        <f>ROUND('Alim CE Ricavi'!H234,2)</f>
        <v>0</v>
      </c>
      <c r="F125" s="63"/>
      <c r="G125" s="207"/>
      <c r="H125" s="95"/>
    </row>
    <row r="126" spans="1:8" ht="25.5">
      <c r="A126" s="200" t="s">
        <v>1248</v>
      </c>
      <c r="B126" s="116" t="s">
        <v>1338</v>
      </c>
      <c r="C126" s="117" t="s">
        <v>1339</v>
      </c>
      <c r="D126" s="365">
        <f t="shared" ref="D126" si="40">+D127+D128+D129+D130</f>
        <v>477669573.88999999</v>
      </c>
      <c r="E126" s="365">
        <f t="shared" ref="E126" si="41">+E127+E128+E129+E130</f>
        <v>441537521.61999995</v>
      </c>
      <c r="F126" s="63" t="s">
        <v>1835</v>
      </c>
      <c r="G126" s="207"/>
      <c r="H126" s="95"/>
    </row>
    <row r="127" spans="1:8" ht="38.25">
      <c r="A127" s="197" t="s">
        <v>1248</v>
      </c>
      <c r="B127" s="98" t="s">
        <v>322</v>
      </c>
      <c r="C127" s="99" t="s">
        <v>1340</v>
      </c>
      <c r="D127" s="367">
        <f>ROUND('Alim CE Ricavi'!E237,2)</f>
        <v>0</v>
      </c>
      <c r="E127" s="367">
        <f>ROUND('Alim CE Ricavi'!H237,2)</f>
        <v>45358.65</v>
      </c>
      <c r="F127" s="63"/>
      <c r="G127" s="207"/>
      <c r="H127" s="95"/>
    </row>
    <row r="128" spans="1:8" ht="25.5">
      <c r="A128" s="197" t="s">
        <v>1248</v>
      </c>
      <c r="B128" s="98" t="s">
        <v>324</v>
      </c>
      <c r="C128" s="99" t="s">
        <v>1341</v>
      </c>
      <c r="D128" s="367">
        <f>ROUND('Alim CE Ricavi'!E239,2)</f>
        <v>464729659.75</v>
      </c>
      <c r="E128" s="367">
        <f>ROUND('Alim CE Ricavi'!H239,2)</f>
        <v>431217548.94999999</v>
      </c>
      <c r="F128" s="63"/>
      <c r="G128" s="207"/>
      <c r="H128" s="95"/>
    </row>
    <row r="129" spans="1:8" ht="25.5">
      <c r="A129" s="197" t="s">
        <v>1248</v>
      </c>
      <c r="B129" s="98" t="s">
        <v>325</v>
      </c>
      <c r="C129" s="99" t="s">
        <v>1342</v>
      </c>
      <c r="D129" s="367">
        <f>ROUND(('Alim CE Ricavi'!E241+'Alim CE Ricavi'!E242+'Alim CE Ricavi'!E243),2)</f>
        <v>12939914.140000001</v>
      </c>
      <c r="E129" s="367">
        <f>ROUND(('Alim CE Ricavi'!H241+'Alim CE Ricavi'!H242+'Alim CE Ricavi'!H243),2)</f>
        <v>10274614.02</v>
      </c>
      <c r="F129" s="63"/>
      <c r="G129" s="207"/>
      <c r="H129" s="95"/>
    </row>
    <row r="130" spans="1:8" ht="25.5">
      <c r="A130" s="197" t="s">
        <v>1248</v>
      </c>
      <c r="B130" s="98" t="s">
        <v>327</v>
      </c>
      <c r="C130" s="99" t="s">
        <v>1343</v>
      </c>
      <c r="D130" s="367">
        <f>ROUND('Alim CE Ricavi'!E245,2)</f>
        <v>0</v>
      </c>
      <c r="E130" s="367">
        <f>ROUND('Alim CE Ricavi'!H245,2)</f>
        <v>0</v>
      </c>
      <c r="F130" s="63"/>
      <c r="G130" s="207"/>
      <c r="H130" s="95"/>
    </row>
    <row r="131" spans="1:8" ht="25.5">
      <c r="A131" s="197"/>
      <c r="B131" s="116" t="s">
        <v>328</v>
      </c>
      <c r="C131" s="117" t="s">
        <v>1344</v>
      </c>
      <c r="D131" s="365">
        <f t="shared" ref="D131" si="42">+D132+D133+D134</f>
        <v>582868.97</v>
      </c>
      <c r="E131" s="365">
        <f t="shared" ref="E131" si="43">+E132+E133+E134</f>
        <v>681165.27999999991</v>
      </c>
      <c r="F131" s="63" t="s">
        <v>1835</v>
      </c>
      <c r="G131" s="207"/>
      <c r="H131" s="95"/>
    </row>
    <row r="132" spans="1:8" ht="38.25">
      <c r="A132" s="197"/>
      <c r="B132" s="98" t="s">
        <v>330</v>
      </c>
      <c r="C132" s="99" t="s">
        <v>1345</v>
      </c>
      <c r="D132" s="367">
        <f>ROUND('Alim CE Ricavi'!E248,2)</f>
        <v>233122.02</v>
      </c>
      <c r="E132" s="367">
        <f>ROUND('Alim CE Ricavi'!H248,2)</f>
        <v>257537.95</v>
      </c>
      <c r="F132" s="63"/>
      <c r="G132" s="207"/>
      <c r="H132" s="95"/>
    </row>
    <row r="133" spans="1:8" ht="25.5">
      <c r="A133" s="197"/>
      <c r="B133" s="98" t="s">
        <v>332</v>
      </c>
      <c r="C133" s="99" t="s">
        <v>1346</v>
      </c>
      <c r="D133" s="367">
        <f>ROUND('Alim CE Ricavi'!E250,2)</f>
        <v>339043.63</v>
      </c>
      <c r="E133" s="367">
        <f>ROUND('Alim CE Ricavi'!H250,2)</f>
        <v>420908.24</v>
      </c>
      <c r="F133" s="63"/>
      <c r="G133" s="207"/>
      <c r="H133" s="95"/>
    </row>
    <row r="134" spans="1:8" ht="25.5">
      <c r="A134" s="197"/>
      <c r="B134" s="98" t="s">
        <v>334</v>
      </c>
      <c r="C134" s="99" t="s">
        <v>1347</v>
      </c>
      <c r="D134" s="367">
        <f>+ROUND(SUM('Alim CE Ricavi'!E252:E257),2)</f>
        <v>10703.32</v>
      </c>
      <c r="E134" s="367">
        <f>+ROUND(SUM('Alim CE Ricavi'!H252:H257),2)</f>
        <v>2719.09</v>
      </c>
      <c r="F134" s="63"/>
      <c r="G134" s="207"/>
      <c r="H134" s="95"/>
    </row>
    <row r="135" spans="1:8" ht="18.75">
      <c r="A135" s="197"/>
      <c r="B135" s="116" t="s">
        <v>340</v>
      </c>
      <c r="C135" s="117" t="s">
        <v>1348</v>
      </c>
      <c r="D135" s="365">
        <f t="shared" ref="D135" si="44">+D136+D140+D141</f>
        <v>966057.97</v>
      </c>
      <c r="E135" s="365">
        <f t="shared" ref="E135" si="45">+E136+E140+E141</f>
        <v>1194382.78</v>
      </c>
      <c r="F135" s="63" t="s">
        <v>1835</v>
      </c>
      <c r="G135" s="207"/>
      <c r="H135" s="95"/>
    </row>
    <row r="136" spans="1:8" ht="18.75">
      <c r="A136" s="197"/>
      <c r="B136" s="129" t="s">
        <v>341</v>
      </c>
      <c r="C136" s="130" t="s">
        <v>1349</v>
      </c>
      <c r="D136" s="369">
        <f t="shared" ref="D136" si="46">+D137+D138+D139</f>
        <v>0</v>
      </c>
      <c r="E136" s="369">
        <f t="shared" ref="E136" si="47">+E137+E138+E139</f>
        <v>0</v>
      </c>
      <c r="F136" s="63" t="s">
        <v>1835</v>
      </c>
      <c r="G136" s="208"/>
      <c r="H136" s="95"/>
    </row>
    <row r="137" spans="1:8" ht="25.5">
      <c r="A137" s="197"/>
      <c r="B137" s="100" t="s">
        <v>343</v>
      </c>
      <c r="C137" s="101" t="s">
        <v>1350</v>
      </c>
      <c r="D137" s="367">
        <f>ROUND('Alim CE Ricavi'!E261,2)</f>
        <v>0</v>
      </c>
      <c r="E137" s="367">
        <f>ROUND('Alim CE Ricavi'!H261,2)</f>
        <v>0</v>
      </c>
      <c r="F137" s="63"/>
      <c r="G137" s="207"/>
      <c r="H137" s="95"/>
    </row>
    <row r="138" spans="1:8" ht="25.5">
      <c r="A138" s="197"/>
      <c r="B138" s="100" t="s">
        <v>345</v>
      </c>
      <c r="C138" s="101" t="s">
        <v>1351</v>
      </c>
      <c r="D138" s="367">
        <f>ROUND('Alim CE Ricavi'!E263,2)</f>
        <v>0</v>
      </c>
      <c r="E138" s="367">
        <f>ROUND('Alim CE Ricavi'!H263,2)</f>
        <v>0</v>
      </c>
      <c r="F138" s="63"/>
      <c r="G138" s="207"/>
      <c r="H138" s="95"/>
    </row>
    <row r="139" spans="1:8" ht="18.75">
      <c r="A139" s="197"/>
      <c r="B139" s="100" t="s">
        <v>347</v>
      </c>
      <c r="C139" s="101" t="s">
        <v>1352</v>
      </c>
      <c r="D139" s="367">
        <f>ROUND('Alim CE Ricavi'!E265,2)</f>
        <v>0</v>
      </c>
      <c r="E139" s="367">
        <f>ROUND('Alim CE Ricavi'!H265,2)</f>
        <v>0</v>
      </c>
      <c r="F139" s="63"/>
      <c r="G139" s="207"/>
      <c r="H139" s="95"/>
    </row>
    <row r="140" spans="1:8" ht="18.75">
      <c r="A140" s="199"/>
      <c r="B140" s="98" t="s">
        <v>349</v>
      </c>
      <c r="C140" s="99" t="s">
        <v>1353</v>
      </c>
      <c r="D140" s="367">
        <f>ROUND('Alim CE Ricavi'!E267,2)</f>
        <v>0</v>
      </c>
      <c r="E140" s="367">
        <f>ROUND('Alim CE Ricavi'!H267,2)</f>
        <v>0</v>
      </c>
      <c r="F140" s="310"/>
      <c r="G140" s="207"/>
      <c r="H140" s="95"/>
    </row>
    <row r="141" spans="1:8" ht="18.75">
      <c r="A141" s="199"/>
      <c r="B141" s="98" t="s">
        <v>351</v>
      </c>
      <c r="C141" s="99" t="s">
        <v>1354</v>
      </c>
      <c r="D141" s="367">
        <f>+ROUND(SUM('Alim CE Ricavi'!E269:E281),2)</f>
        <v>966057.97</v>
      </c>
      <c r="E141" s="367">
        <f>+ROUND(SUM('Alim CE Ricavi'!H269:H281),2)</f>
        <v>1194382.78</v>
      </c>
      <c r="F141" s="310"/>
      <c r="G141" s="207"/>
      <c r="H141" s="95"/>
    </row>
    <row r="142" spans="1:8" ht="25.5">
      <c r="A142" s="199"/>
      <c r="B142" s="121" t="s">
        <v>364</v>
      </c>
      <c r="C142" s="122" t="s">
        <v>1355</v>
      </c>
      <c r="D142" s="364">
        <f t="shared" ref="D142" si="48">+D143+D144+D145</f>
        <v>0</v>
      </c>
      <c r="E142" s="364">
        <f t="shared" ref="E142" si="49">+E143+E144+E145</f>
        <v>0</v>
      </c>
      <c r="F142" s="63" t="s">
        <v>1835</v>
      </c>
      <c r="G142" s="207"/>
      <c r="H142" s="95"/>
    </row>
    <row r="143" spans="1:8" ht="38.25">
      <c r="A143" s="199"/>
      <c r="B143" s="96" t="s">
        <v>365</v>
      </c>
      <c r="C143" s="97" t="s">
        <v>1356</v>
      </c>
      <c r="D143" s="367">
        <f>ROUND('Alim CE Ricavi'!E284,2)</f>
        <v>0</v>
      </c>
      <c r="E143" s="367">
        <f>ROUND('Alim CE Ricavi'!H284,2)</f>
        <v>0</v>
      </c>
      <c r="F143" s="310"/>
      <c r="G143" s="207"/>
      <c r="H143" s="95"/>
    </row>
    <row r="144" spans="1:8" ht="25.5">
      <c r="A144" s="197"/>
      <c r="B144" s="96" t="s">
        <v>367</v>
      </c>
      <c r="C144" s="97" t="s">
        <v>1357</v>
      </c>
      <c r="D144" s="367">
        <f>ROUND('Alim CE Ricavi'!E286,2)</f>
        <v>0</v>
      </c>
      <c r="E144" s="367">
        <f>ROUND('Alim CE Ricavi'!H286,2)</f>
        <v>0</v>
      </c>
      <c r="F144" s="63"/>
      <c r="G144" s="207"/>
      <c r="H144" s="95"/>
    </row>
    <row r="145" spans="1:8" ht="25.5">
      <c r="A145" s="197"/>
      <c r="B145" s="96" t="s">
        <v>369</v>
      </c>
      <c r="C145" s="97" t="s">
        <v>1358</v>
      </c>
      <c r="D145" s="367">
        <f>ROUND('Alim CE Ricavi'!E288,2)</f>
        <v>0</v>
      </c>
      <c r="E145" s="367">
        <f>ROUND('Alim CE Ricavi'!H288,2)</f>
        <v>0</v>
      </c>
      <c r="F145" s="63"/>
      <c r="G145" s="207"/>
      <c r="H145" s="95"/>
    </row>
    <row r="146" spans="1:8" ht="25.5">
      <c r="A146" s="197"/>
      <c r="B146" s="121" t="s">
        <v>370</v>
      </c>
      <c r="C146" s="122" t="s">
        <v>1359</v>
      </c>
      <c r="D146" s="364">
        <f t="shared" ref="D146" si="50">+D147+D148+D149+D150+D151+D152</f>
        <v>186482.77</v>
      </c>
      <c r="E146" s="364">
        <f t="shared" ref="E146" si="51">+E147+E148+E149+E150+E151+E152</f>
        <v>162903.45000000001</v>
      </c>
      <c r="F146" s="63" t="s">
        <v>1835</v>
      </c>
      <c r="G146" s="207"/>
      <c r="H146" s="95"/>
    </row>
    <row r="147" spans="1:8" ht="25.5">
      <c r="A147" s="197"/>
      <c r="B147" s="96" t="s">
        <v>372</v>
      </c>
      <c r="C147" s="97" t="s">
        <v>1360</v>
      </c>
      <c r="D147" s="367">
        <f>ROUND('Alim CE Ricavi'!E291,2)</f>
        <v>0</v>
      </c>
      <c r="E147" s="367">
        <f>ROUND('Alim CE Ricavi'!H291,2)</f>
        <v>0</v>
      </c>
      <c r="F147" s="63"/>
      <c r="G147" s="207"/>
      <c r="H147" s="95"/>
    </row>
    <row r="148" spans="1:8" ht="25.5">
      <c r="A148" s="197"/>
      <c r="B148" s="96" t="s">
        <v>374</v>
      </c>
      <c r="C148" s="97" t="s">
        <v>1361</v>
      </c>
      <c r="D148" s="367">
        <f>ROUND('Alim CE Ricavi'!E293,2)</f>
        <v>186482.77</v>
      </c>
      <c r="E148" s="367">
        <f>ROUND('Alim CE Ricavi'!H293,2)</f>
        <v>162903.45000000001</v>
      </c>
      <c r="F148" s="63"/>
      <c r="G148" s="207"/>
      <c r="H148" s="95"/>
    </row>
    <row r="149" spans="1:8" ht="25.5">
      <c r="A149" s="197"/>
      <c r="B149" s="96" t="s">
        <v>376</v>
      </c>
      <c r="C149" s="97" t="s">
        <v>1362</v>
      </c>
      <c r="D149" s="367">
        <f>ROUND('Alim CE Ricavi'!E295,2)</f>
        <v>0</v>
      </c>
      <c r="E149" s="367">
        <f>ROUND('Alim CE Ricavi'!H295,2)</f>
        <v>0</v>
      </c>
      <c r="F149" s="63"/>
      <c r="G149" s="207"/>
      <c r="H149" s="95"/>
    </row>
    <row r="150" spans="1:8" ht="25.5">
      <c r="A150" s="197"/>
      <c r="B150" s="96" t="s">
        <v>378</v>
      </c>
      <c r="C150" s="97" t="s">
        <v>1363</v>
      </c>
      <c r="D150" s="367">
        <f>ROUND('Alim CE Ricavi'!E297,2)</f>
        <v>0</v>
      </c>
      <c r="E150" s="367">
        <f>ROUND('Alim CE Ricavi'!H297,2)</f>
        <v>0</v>
      </c>
      <c r="F150" s="63"/>
      <c r="G150" s="207"/>
      <c r="H150" s="95"/>
    </row>
    <row r="151" spans="1:8" ht="25.5">
      <c r="A151" s="197"/>
      <c r="B151" s="96" t="s">
        <v>380</v>
      </c>
      <c r="C151" s="97" t="s">
        <v>1364</v>
      </c>
      <c r="D151" s="367">
        <f>ROUND('Alim CE Ricavi'!E299,2)</f>
        <v>0</v>
      </c>
      <c r="E151" s="367">
        <f>ROUND('Alim CE Ricavi'!H299,2)</f>
        <v>0</v>
      </c>
      <c r="F151" s="63"/>
      <c r="G151" s="207"/>
      <c r="H151" s="95"/>
    </row>
    <row r="152" spans="1:8" ht="25.5">
      <c r="A152" s="197"/>
      <c r="B152" s="96" t="s">
        <v>382</v>
      </c>
      <c r="C152" s="97" t="s">
        <v>1365</v>
      </c>
      <c r="D152" s="367">
        <f>ROUND('Alim CE Ricavi'!E301,2)</f>
        <v>0</v>
      </c>
      <c r="E152" s="367">
        <f>ROUND('Alim CE Ricavi'!H301,2)</f>
        <v>0</v>
      </c>
      <c r="F152" s="63"/>
      <c r="G152" s="207"/>
      <c r="H152" s="95"/>
    </row>
    <row r="153" spans="1:8" ht="25.5">
      <c r="A153" s="197"/>
      <c r="B153" s="121" t="s">
        <v>383</v>
      </c>
      <c r="C153" s="122" t="s">
        <v>1366</v>
      </c>
      <c r="D153" s="364">
        <f>ROUND('Alim CE Ricavi'!E303,2)</f>
        <v>0</v>
      </c>
      <c r="E153" s="364">
        <f>ROUND('Alim CE Ricavi'!H303,2)</f>
        <v>0</v>
      </c>
      <c r="F153" s="63"/>
      <c r="G153" s="207"/>
      <c r="H153" s="95"/>
    </row>
    <row r="154" spans="1:8" ht="18.75">
      <c r="A154" s="197"/>
      <c r="B154" s="121" t="s">
        <v>384</v>
      </c>
      <c r="C154" s="122" t="s">
        <v>1367</v>
      </c>
      <c r="D154" s="364">
        <f t="shared" ref="D154" si="52">+D155+D156+D157</f>
        <v>7500</v>
      </c>
      <c r="E154" s="364">
        <f t="shared" ref="E154" si="53">+E155+E156+E157</f>
        <v>9190.73</v>
      </c>
      <c r="F154" s="63" t="s">
        <v>1835</v>
      </c>
      <c r="G154" s="207"/>
      <c r="H154" s="95"/>
    </row>
    <row r="155" spans="1:8" ht="18.75">
      <c r="A155" s="197"/>
      <c r="B155" s="96" t="s">
        <v>385</v>
      </c>
      <c r="C155" s="97" t="s">
        <v>1368</v>
      </c>
      <c r="D155" s="367">
        <f>ROUND(('Alim CE Ricavi'!E306+'Alim CE Ricavi'!E307+'Alim CE Ricavi'!E308),2)</f>
        <v>0</v>
      </c>
      <c r="E155" s="367">
        <f>ROUND(('Alim CE Ricavi'!H306+'Alim CE Ricavi'!H307+'Alim CE Ricavi'!H308),2)</f>
        <v>0</v>
      </c>
      <c r="F155" s="63"/>
      <c r="G155" s="207"/>
      <c r="H155" s="95"/>
    </row>
    <row r="156" spans="1:8" ht="25.5">
      <c r="A156" s="197"/>
      <c r="B156" s="96" t="s">
        <v>389</v>
      </c>
      <c r="C156" s="97" t="s">
        <v>1369</v>
      </c>
      <c r="D156" s="367">
        <f>ROUND(('Alim CE Ricavi'!E310+'Alim CE Ricavi'!E311+'Alim CE Ricavi'!E312),2)</f>
        <v>0</v>
      </c>
      <c r="E156" s="367">
        <f>ROUND(('Alim CE Ricavi'!H310+'Alim CE Ricavi'!H311+'Alim CE Ricavi'!H312),2)</f>
        <v>0</v>
      </c>
      <c r="F156" s="63"/>
      <c r="G156" s="207"/>
      <c r="H156" s="95"/>
    </row>
    <row r="157" spans="1:8" ht="18.75">
      <c r="A157" s="197"/>
      <c r="B157" s="96" t="s">
        <v>394</v>
      </c>
      <c r="C157" s="97" t="s">
        <v>1370</v>
      </c>
      <c r="D157" s="367">
        <f>ROUND(('Alim CE Ricavi'!E314+'Alim CE Ricavi'!E315+'Alim CE Ricavi'!E316),2)</f>
        <v>7500</v>
      </c>
      <c r="E157" s="367">
        <f>ROUND(('Alim CE Ricavi'!H314+'Alim CE Ricavi'!H315+'Alim CE Ricavi'!H316),2)</f>
        <v>9190.73</v>
      </c>
      <c r="F157" s="63"/>
      <c r="G157" s="207"/>
      <c r="H157" s="95"/>
    </row>
    <row r="158" spans="1:8" ht="18.75">
      <c r="A158" s="197"/>
      <c r="B158" s="123" t="s">
        <v>1371</v>
      </c>
      <c r="C158" s="124" t="s">
        <v>1372</v>
      </c>
      <c r="D158" s="370">
        <f t="shared" ref="D158" si="54">+D154+D153+D146+D142+D121+D66+D60+D57+D26</f>
        <v>580196664.09000003</v>
      </c>
      <c r="E158" s="370">
        <f t="shared" ref="E158" si="55">+E154+E153+E146+E142+E121+E66+E60+E57+E26</f>
        <v>508121042.45999992</v>
      </c>
      <c r="F158" s="63" t="s">
        <v>1835</v>
      </c>
      <c r="G158" s="207"/>
      <c r="H158" s="95"/>
    </row>
    <row r="159" spans="1:8" ht="18.75">
      <c r="A159" s="197"/>
      <c r="B159" s="131"/>
      <c r="C159" s="133" t="s">
        <v>1373</v>
      </c>
      <c r="D159" s="371"/>
      <c r="E159" s="371"/>
      <c r="F159" s="63"/>
      <c r="G159" s="207"/>
      <c r="H159" s="95"/>
    </row>
    <row r="160" spans="1:8" ht="18.75">
      <c r="A160" s="197"/>
      <c r="B160" s="121" t="s">
        <v>463</v>
      </c>
      <c r="C160" s="122" t="s">
        <v>1374</v>
      </c>
      <c r="D160" s="364">
        <f>+D161+D191</f>
        <v>465303184.44</v>
      </c>
      <c r="E160" s="364">
        <f>+E161+E191</f>
        <v>443367062.40000004</v>
      </c>
      <c r="F160" s="63" t="s">
        <v>1835</v>
      </c>
      <c r="G160" s="207"/>
      <c r="H160" s="95"/>
    </row>
    <row r="161" spans="1:8" ht="18.75">
      <c r="A161" s="197"/>
      <c r="B161" s="116" t="s">
        <v>464</v>
      </c>
      <c r="C161" s="117" t="s">
        <v>1375</v>
      </c>
      <c r="D161" s="365">
        <f t="shared" ref="D161" si="56">+D162+D170+D174+D178+D179+D180+D181+D182+D183</f>
        <v>458886193.02999997</v>
      </c>
      <c r="E161" s="365">
        <f t="shared" ref="E161" si="57">+E162+E170+E174+E178+E179+E180+E181+E182+E183</f>
        <v>435995385.30000001</v>
      </c>
      <c r="F161" s="63" t="s">
        <v>1835</v>
      </c>
      <c r="G161" s="207"/>
      <c r="H161" s="95"/>
    </row>
    <row r="162" spans="1:8" ht="18.75">
      <c r="A162" s="197"/>
      <c r="B162" s="125" t="s">
        <v>465</v>
      </c>
      <c r="C162" s="126" t="s">
        <v>1376</v>
      </c>
      <c r="D162" s="366">
        <f t="shared" ref="D162" si="58">SUM(D163:D166)</f>
        <v>337903388.57999998</v>
      </c>
      <c r="E162" s="366">
        <f t="shared" ref="E162" si="59">SUM(E163:E166)</f>
        <v>319017244.30000001</v>
      </c>
      <c r="F162" s="63" t="s">
        <v>1835</v>
      </c>
      <c r="G162" s="207"/>
      <c r="H162" s="95"/>
    </row>
    <row r="163" spans="1:8" ht="38.25">
      <c r="A163" s="199"/>
      <c r="B163" s="100" t="s">
        <v>466</v>
      </c>
      <c r="C163" s="101" t="s">
        <v>1377</v>
      </c>
      <c r="D163" s="367">
        <f>+ROUND('Alim CE Costi'!E7+'Alim CE Costi'!E8,2)</f>
        <v>334546944.94</v>
      </c>
      <c r="E163" s="367">
        <f>+ROUND('Alim CE Costi'!H7+'Alim CE Costi'!H8,2)</f>
        <v>315613866.48000002</v>
      </c>
      <c r="F163" s="310"/>
      <c r="G163" s="207"/>
      <c r="H163" s="95"/>
    </row>
    <row r="164" spans="1:8" ht="18.75">
      <c r="A164" s="199"/>
      <c r="B164" s="100" t="s">
        <v>469</v>
      </c>
      <c r="C164" s="101" t="s">
        <v>1378</v>
      </c>
      <c r="D164" s="367">
        <f>+ROUND('Alim CE Costi'!E10+'Alim CE Costi'!E11,2)</f>
        <v>3356443.64</v>
      </c>
      <c r="E164" s="367">
        <f>+ROUND('Alim CE Costi'!H10+'Alim CE Costi'!H11,2)</f>
        <v>3403377.82</v>
      </c>
      <c r="F164" s="310"/>
      <c r="G164" s="207"/>
      <c r="H164" s="95"/>
    </row>
    <row r="165" spans="1:8" ht="18.75">
      <c r="A165" s="199"/>
      <c r="B165" s="100" t="s">
        <v>471</v>
      </c>
      <c r="C165" s="101" t="s">
        <v>1379</v>
      </c>
      <c r="D165" s="367">
        <f>+ROUND('Alim CE Costi'!E13,2)</f>
        <v>0</v>
      </c>
      <c r="E165" s="367">
        <f>+ROUND('Alim CE Costi'!H13,2)</f>
        <v>0</v>
      </c>
      <c r="F165" s="310"/>
      <c r="G165" s="207"/>
      <c r="H165" s="95"/>
    </row>
    <row r="166" spans="1:8" ht="18.75">
      <c r="A166" s="197"/>
      <c r="B166" s="127" t="s">
        <v>472</v>
      </c>
      <c r="C166" s="128" t="s">
        <v>1380</v>
      </c>
      <c r="D166" s="368">
        <f t="shared" ref="D166" si="60">SUM(D167:D169)</f>
        <v>0</v>
      </c>
      <c r="E166" s="368">
        <f t="shared" ref="E166" si="61">SUM(E167:E169)</f>
        <v>0</v>
      </c>
      <c r="F166" s="63" t="s">
        <v>1835</v>
      </c>
      <c r="G166" s="207"/>
      <c r="H166" s="95"/>
    </row>
    <row r="167" spans="1:8" ht="38.25">
      <c r="A167" s="199" t="s">
        <v>1248</v>
      </c>
      <c r="B167" s="100" t="s">
        <v>474</v>
      </c>
      <c r="C167" s="101" t="s">
        <v>1381</v>
      </c>
      <c r="D167" s="367">
        <f>+ROUND('Alim CE Costi'!E16,2)</f>
        <v>0</v>
      </c>
      <c r="E167" s="367">
        <f>+ROUND('Alim CE Costi'!H16,2)</f>
        <v>0</v>
      </c>
      <c r="F167" s="310"/>
      <c r="G167" s="207"/>
      <c r="H167" s="95"/>
    </row>
    <row r="168" spans="1:8" ht="38.25">
      <c r="A168" s="199" t="s">
        <v>1293</v>
      </c>
      <c r="B168" s="100" t="s">
        <v>476</v>
      </c>
      <c r="C168" s="101" t="s">
        <v>1382</v>
      </c>
      <c r="D168" s="367">
        <f>+ROUND('Alim CE Costi'!E18,2)</f>
        <v>0</v>
      </c>
      <c r="E168" s="367">
        <f>+ROUND('Alim CE Costi'!H18,2)</f>
        <v>0</v>
      </c>
      <c r="F168" s="310"/>
      <c r="G168" s="207"/>
      <c r="H168" s="95"/>
    </row>
    <row r="169" spans="1:8" ht="25.5">
      <c r="A169" s="199"/>
      <c r="B169" s="100" t="s">
        <v>478</v>
      </c>
      <c r="C169" s="101" t="s">
        <v>1383</v>
      </c>
      <c r="D169" s="367">
        <f>+ROUND('Alim CE Costi'!E20,2)</f>
        <v>0</v>
      </c>
      <c r="E169" s="367">
        <f>+ROUND('Alim CE Costi'!H20,2)</f>
        <v>0</v>
      </c>
      <c r="F169" s="310"/>
      <c r="G169" s="207"/>
      <c r="H169" s="95"/>
    </row>
    <row r="170" spans="1:8" ht="18.75">
      <c r="A170" s="197"/>
      <c r="B170" s="125" t="s">
        <v>479</v>
      </c>
      <c r="C170" s="126" t="s">
        <v>1384</v>
      </c>
      <c r="D170" s="366">
        <f t="shared" ref="D170" si="62">SUM(D171:D173)</f>
        <v>0</v>
      </c>
      <c r="E170" s="366">
        <f t="shared" ref="E170" si="63">SUM(E171:E173)</f>
        <v>0</v>
      </c>
      <c r="F170" s="63" t="s">
        <v>1835</v>
      </c>
      <c r="G170" s="207"/>
      <c r="H170" s="95"/>
    </row>
    <row r="171" spans="1:8" ht="25.5">
      <c r="A171" s="197" t="s">
        <v>1248</v>
      </c>
      <c r="B171" s="100" t="s">
        <v>480</v>
      </c>
      <c r="C171" s="101" t="s">
        <v>1385</v>
      </c>
      <c r="D171" s="367">
        <f>+ROUND('Alim CE Costi'!E23,2)</f>
        <v>0</v>
      </c>
      <c r="E171" s="367">
        <f>+ROUND('Alim CE Costi'!H23,2)</f>
        <v>0</v>
      </c>
      <c r="F171" s="63"/>
      <c r="G171" s="207"/>
      <c r="H171" s="95"/>
    </row>
    <row r="172" spans="1:8" ht="25.5">
      <c r="A172" s="197" t="s">
        <v>1293</v>
      </c>
      <c r="B172" s="100" t="s">
        <v>481</v>
      </c>
      <c r="C172" s="101" t="s">
        <v>1386</v>
      </c>
      <c r="D172" s="367">
        <f>+ROUND('Alim CE Costi'!E25,2)</f>
        <v>0</v>
      </c>
      <c r="E172" s="367">
        <f>+ROUND('Alim CE Costi'!H25,2)</f>
        <v>0</v>
      </c>
      <c r="F172" s="63"/>
      <c r="G172" s="207"/>
      <c r="H172" s="95"/>
    </row>
    <row r="173" spans="1:8" ht="18.75">
      <c r="A173" s="197"/>
      <c r="B173" s="100" t="s">
        <v>483</v>
      </c>
      <c r="C173" s="101" t="s">
        <v>1387</v>
      </c>
      <c r="D173" s="367">
        <f>+ROUND('Alim CE Costi'!E27,2)</f>
        <v>0</v>
      </c>
      <c r="E173" s="367">
        <f>+ROUND('Alim CE Costi'!H27,2)</f>
        <v>0</v>
      </c>
      <c r="F173" s="63"/>
      <c r="G173" s="207"/>
      <c r="H173" s="95"/>
    </row>
    <row r="174" spans="1:8" ht="18.75">
      <c r="A174" s="197"/>
      <c r="B174" s="125" t="s">
        <v>485</v>
      </c>
      <c r="C174" s="126" t="s">
        <v>1388</v>
      </c>
      <c r="D174" s="366">
        <f t="shared" ref="D174" si="64">SUM(D175:D177)</f>
        <v>98991787.38000001</v>
      </c>
      <c r="E174" s="366">
        <f t="shared" ref="E174" si="65">SUM(E175:E177)</f>
        <v>95657524.890000015</v>
      </c>
      <c r="F174" s="312" t="s">
        <v>1835</v>
      </c>
      <c r="G174" s="207"/>
      <c r="H174" s="95"/>
    </row>
    <row r="175" spans="1:8" ht="18.75">
      <c r="A175" s="197"/>
      <c r="B175" s="100" t="s">
        <v>486</v>
      </c>
      <c r="C175" s="101" t="s">
        <v>1389</v>
      </c>
      <c r="D175" s="367">
        <f>+ROUND('Alim CE Costi'!E30+'Alim CE Costi'!E31,2)</f>
        <v>90493050.510000005</v>
      </c>
      <c r="E175" s="367">
        <f>+ROUND('Alim CE Costi'!H30+'Alim CE Costi'!H31,2)</f>
        <v>88606603.920000002</v>
      </c>
      <c r="F175" s="63"/>
      <c r="G175" s="207"/>
      <c r="H175" s="95"/>
    </row>
    <row r="176" spans="1:8" ht="18.75">
      <c r="A176" s="197"/>
      <c r="B176" s="100" t="s">
        <v>488</v>
      </c>
      <c r="C176" s="101" t="s">
        <v>1390</v>
      </c>
      <c r="D176" s="367">
        <f>+ROUND('Alim CE Costi'!E33+'Alim CE Costi'!E34,2)</f>
        <v>3842143.51</v>
      </c>
      <c r="E176" s="367">
        <f>+ROUND('Alim CE Costi'!H33+'Alim CE Costi'!H34,2)</f>
        <v>787034.04</v>
      </c>
      <c r="F176" s="63"/>
      <c r="G176" s="207"/>
      <c r="H176" s="95"/>
    </row>
    <row r="177" spans="1:8" ht="18.75">
      <c r="A177" s="197"/>
      <c r="B177" s="100" t="s">
        <v>490</v>
      </c>
      <c r="C177" s="101" t="s">
        <v>1391</v>
      </c>
      <c r="D177" s="367">
        <f>+ROUND('Alim CE Costi'!E36+'Alim CE Costi'!E37,2)</f>
        <v>4656593.3600000003</v>
      </c>
      <c r="E177" s="367">
        <f>+ROUND('Alim CE Costi'!H36+'Alim CE Costi'!H37,2)</f>
        <v>6263886.9299999997</v>
      </c>
      <c r="F177" s="63"/>
      <c r="G177" s="207"/>
      <c r="H177" s="95"/>
    </row>
    <row r="178" spans="1:8" ht="18.75">
      <c r="A178" s="197"/>
      <c r="B178" s="98" t="s">
        <v>492</v>
      </c>
      <c r="C178" s="99" t="s">
        <v>1392</v>
      </c>
      <c r="D178" s="372">
        <f>+ROUND('Alim CE Costi'!E39+'Alim CE Costi'!E40,2)</f>
        <v>3114596.5</v>
      </c>
      <c r="E178" s="372">
        <f>+ROUND('Alim CE Costi'!H39+'Alim CE Costi'!H40,2)</f>
        <v>2354109.0299999998</v>
      </c>
      <c r="F178" s="310"/>
      <c r="G178" s="207"/>
      <c r="H178" s="95"/>
    </row>
    <row r="179" spans="1:8" ht="18.75">
      <c r="A179" s="197"/>
      <c r="B179" s="98" t="s">
        <v>494</v>
      </c>
      <c r="C179" s="99" t="s">
        <v>1393</v>
      </c>
      <c r="D179" s="372">
        <f>+ROUND('Alim CE Costi'!E42+'Alim CE Costi'!E43,2)</f>
        <v>17232957.370000001</v>
      </c>
      <c r="E179" s="372">
        <f>+ROUND('Alim CE Costi'!H42+'Alim CE Costi'!H43,2)</f>
        <v>15808515.710000001</v>
      </c>
      <c r="F179" s="310"/>
      <c r="G179" s="207"/>
      <c r="H179" s="95"/>
    </row>
    <row r="180" spans="1:8" ht="18.75">
      <c r="A180" s="197"/>
      <c r="B180" s="98" t="s">
        <v>496</v>
      </c>
      <c r="C180" s="99" t="s">
        <v>1394</v>
      </c>
      <c r="D180" s="372">
        <f>+ROUND('Alim CE Costi'!E45+'Alim CE Costi'!E46,2)</f>
        <v>2060.08</v>
      </c>
      <c r="E180" s="372">
        <f>+ROUND('Alim CE Costi'!H45+'Alim CE Costi'!H46,2)</f>
        <v>14794.1</v>
      </c>
      <c r="F180" s="310"/>
      <c r="G180" s="207"/>
      <c r="H180" s="95"/>
    </row>
    <row r="181" spans="1:8" ht="18.75">
      <c r="A181" s="197"/>
      <c r="B181" s="98" t="s">
        <v>498</v>
      </c>
      <c r="C181" s="99" t="s">
        <v>1395</v>
      </c>
      <c r="D181" s="372">
        <f>+ROUND('Alim CE Costi'!E48+'Alim CE Costi'!E49,2)</f>
        <v>20138.93</v>
      </c>
      <c r="E181" s="372">
        <f>+ROUND('Alim CE Costi'!H48+'Alim CE Costi'!H49,2)</f>
        <v>47393.64</v>
      </c>
      <c r="F181" s="310"/>
      <c r="G181" s="207"/>
      <c r="H181" s="95"/>
    </row>
    <row r="182" spans="1:8" ht="18.75">
      <c r="A182" s="197"/>
      <c r="B182" s="98" t="s">
        <v>500</v>
      </c>
      <c r="C182" s="99" t="s">
        <v>1396</v>
      </c>
      <c r="D182" s="372">
        <f>+ROUND('Alim CE Costi'!E51+'Alim CE Costi'!E52,2)</f>
        <v>1621264.19</v>
      </c>
      <c r="E182" s="372">
        <f>+ROUND('Alim CE Costi'!H51+'Alim CE Costi'!H52,2)</f>
        <v>3095803.63</v>
      </c>
      <c r="F182" s="310"/>
      <c r="G182" s="207"/>
      <c r="H182" s="95"/>
    </row>
    <row r="183" spans="1:8" ht="25.5">
      <c r="A183" s="197" t="s">
        <v>1248</v>
      </c>
      <c r="B183" s="125" t="s">
        <v>501</v>
      </c>
      <c r="C183" s="126" t="s">
        <v>1397</v>
      </c>
      <c r="D183" s="366">
        <f>SUM(D184:D190)</f>
        <v>0</v>
      </c>
      <c r="E183" s="366">
        <f>SUM(E184:E190)</f>
        <v>0</v>
      </c>
      <c r="F183" s="310" t="s">
        <v>1835</v>
      </c>
      <c r="G183" s="207"/>
    </row>
    <row r="184" spans="1:8" ht="18.75">
      <c r="A184" s="197" t="s">
        <v>1248</v>
      </c>
      <c r="B184" s="98" t="s">
        <v>502</v>
      </c>
      <c r="C184" s="99" t="s">
        <v>1398</v>
      </c>
      <c r="D184" s="372">
        <f>+ROUND('Alim CE Costi'!E55+'Alim CE Costi'!E56+'Alim CE Costi'!E57,2)</f>
        <v>0</v>
      </c>
      <c r="E184" s="372">
        <f>+ROUND('Alim CE Costi'!H55+'Alim CE Costi'!H56+'Alim CE Costi'!H57,2)</f>
        <v>0</v>
      </c>
      <c r="F184" s="310"/>
      <c r="G184" s="207"/>
    </row>
    <row r="185" spans="1:8" ht="18.75">
      <c r="A185" s="197" t="s">
        <v>1248</v>
      </c>
      <c r="B185" s="98" t="s">
        <v>503</v>
      </c>
      <c r="C185" s="99" t="s">
        <v>1399</v>
      </c>
      <c r="D185" s="372">
        <f>+ROUND('Alim CE Costi'!E59+'Alim CE Costi'!E60+'Alim CE Costi'!E61,2)</f>
        <v>0</v>
      </c>
      <c r="E185" s="372">
        <f>+ROUND('Alim CE Costi'!H59+'Alim CE Costi'!H60+'Alim CE Costi'!H61,2)</f>
        <v>0</v>
      </c>
      <c r="F185" s="310"/>
      <c r="G185" s="207"/>
    </row>
    <row r="186" spans="1:8" ht="18.75">
      <c r="A186" s="197" t="s">
        <v>1248</v>
      </c>
      <c r="B186" s="98" t="s">
        <v>504</v>
      </c>
      <c r="C186" s="99" t="s">
        <v>1400</v>
      </c>
      <c r="D186" s="372">
        <f>+ROUND('Alim CE Costi'!E63,2)</f>
        <v>0</v>
      </c>
      <c r="E186" s="372">
        <f>+ROUND('Alim CE Costi'!H63,2)</f>
        <v>0</v>
      </c>
      <c r="F186" s="310"/>
      <c r="G186" s="207"/>
    </row>
    <row r="187" spans="1:8" ht="18.75">
      <c r="A187" s="197" t="s">
        <v>1248</v>
      </c>
      <c r="B187" s="98" t="s">
        <v>505</v>
      </c>
      <c r="C187" s="99" t="s">
        <v>1401</v>
      </c>
      <c r="D187" s="372">
        <f>+ROUND('Alim CE Costi'!E65,2)</f>
        <v>0</v>
      </c>
      <c r="E187" s="372">
        <f>+ROUND('Alim CE Costi'!H65,2)</f>
        <v>0</v>
      </c>
      <c r="F187" s="310"/>
      <c r="G187" s="207"/>
    </row>
    <row r="188" spans="1:8" ht="18.75">
      <c r="A188" s="197" t="s">
        <v>1248</v>
      </c>
      <c r="B188" s="98" t="s">
        <v>506</v>
      </c>
      <c r="C188" s="99" t="s">
        <v>1402</v>
      </c>
      <c r="D188" s="372">
        <f>+ROUND('Alim CE Costi'!E67,2)</f>
        <v>0</v>
      </c>
      <c r="E188" s="372">
        <f>+ROUND('Alim CE Costi'!H67,2)</f>
        <v>0</v>
      </c>
      <c r="F188" s="310"/>
      <c r="G188" s="207"/>
    </row>
    <row r="189" spans="1:8" ht="18.75">
      <c r="A189" s="197" t="s">
        <v>1248</v>
      </c>
      <c r="B189" s="98" t="s">
        <v>507</v>
      </c>
      <c r="C189" s="99" t="s">
        <v>1403</v>
      </c>
      <c r="D189" s="372">
        <f>+ROUND('Alim CE Costi'!E69,2)</f>
        <v>0</v>
      </c>
      <c r="E189" s="372">
        <f>+ROUND('Alim CE Costi'!H69,2)</f>
        <v>0</v>
      </c>
      <c r="F189" s="310"/>
      <c r="G189" s="207"/>
    </row>
    <row r="190" spans="1:8" ht="18.75">
      <c r="A190" s="197" t="s">
        <v>1248</v>
      </c>
      <c r="B190" s="98" t="s">
        <v>508</v>
      </c>
      <c r="C190" s="99" t="s">
        <v>1404</v>
      </c>
      <c r="D190" s="372">
        <f>+ROUND('Alim CE Costi'!E71,2)</f>
        <v>0</v>
      </c>
      <c r="E190" s="372">
        <f>+ROUND('Alim CE Costi'!H71,2)</f>
        <v>0</v>
      </c>
      <c r="F190" s="310"/>
      <c r="G190" s="207"/>
    </row>
    <row r="191" spans="1:8" ht="18.75">
      <c r="A191" s="197"/>
      <c r="B191" s="116" t="s">
        <v>509</v>
      </c>
      <c r="C191" s="117" t="s">
        <v>1405</v>
      </c>
      <c r="D191" s="365">
        <f t="shared" ref="D191" si="66">SUM(D192:D198)</f>
        <v>6416991.4100000001</v>
      </c>
      <c r="E191" s="365">
        <f t="shared" ref="E191" si="67">SUM(E192:E198)</f>
        <v>7371677.0999999996</v>
      </c>
      <c r="F191" s="63" t="s">
        <v>1835</v>
      </c>
      <c r="G191" s="207"/>
      <c r="H191" s="95"/>
    </row>
    <row r="192" spans="1:8" ht="18.75">
      <c r="A192" s="197"/>
      <c r="B192" s="98" t="s">
        <v>511</v>
      </c>
      <c r="C192" s="99" t="s">
        <v>1406</v>
      </c>
      <c r="D192" s="367">
        <f>+ROUND('Alim CE Costi'!E74+'Alim CE Costi'!E75,2)</f>
        <v>103084.58</v>
      </c>
      <c r="E192" s="367">
        <f>+ROUND('Alim CE Costi'!H74+'Alim CE Costi'!H75,2)</f>
        <v>91501.34</v>
      </c>
      <c r="F192" s="63"/>
      <c r="G192" s="207"/>
      <c r="H192" s="95"/>
    </row>
    <row r="193" spans="1:8" ht="25.5">
      <c r="A193" s="197"/>
      <c r="B193" s="98" t="s">
        <v>513</v>
      </c>
      <c r="C193" s="99" t="s">
        <v>1407</v>
      </c>
      <c r="D193" s="367">
        <f>+ROUND('Alim CE Costi'!E77+'Alim CE Costi'!E78,2)</f>
        <v>3487264.55</v>
      </c>
      <c r="E193" s="367">
        <f>+ROUND('Alim CE Costi'!H77+'Alim CE Costi'!H78,2)</f>
        <v>4636120.41</v>
      </c>
      <c r="F193" s="63"/>
      <c r="G193" s="207"/>
      <c r="H193" s="95"/>
    </row>
    <row r="194" spans="1:8" ht="18.75">
      <c r="A194" s="197"/>
      <c r="B194" s="98" t="s">
        <v>515</v>
      </c>
      <c r="C194" s="99" t="s">
        <v>1408</v>
      </c>
      <c r="D194" s="367">
        <f>+ROUND('Alim CE Costi'!E80+'Alim CE Costi'!E81,2)</f>
        <v>5852.28</v>
      </c>
      <c r="E194" s="367">
        <f>+ROUND('Alim CE Costi'!H80+'Alim CE Costi'!H81,2)</f>
        <v>6092.42</v>
      </c>
      <c r="F194" s="63"/>
      <c r="G194" s="207"/>
      <c r="H194" s="95"/>
    </row>
    <row r="195" spans="1:8" ht="18.75">
      <c r="A195" s="197"/>
      <c r="B195" s="98" t="s">
        <v>516</v>
      </c>
      <c r="C195" s="99" t="s">
        <v>1409</v>
      </c>
      <c r="D195" s="367">
        <f>+ROUND('Alim CE Costi'!E83+'Alim CE Costi'!E84+'Alim CE Costi'!E85+'Alim CE Costi'!E86,2)</f>
        <v>2716217.51</v>
      </c>
      <c r="E195" s="367">
        <f>+ROUND('Alim CE Costi'!H83+'Alim CE Costi'!H84+'Alim CE Costi'!H85+'Alim CE Costi'!H86,2)</f>
        <v>2567123.9300000002</v>
      </c>
      <c r="F195" s="63"/>
      <c r="G195" s="207"/>
      <c r="H195" s="95"/>
    </row>
    <row r="196" spans="1:8" ht="18.75">
      <c r="A196" s="197"/>
      <c r="B196" s="98" t="s">
        <v>520</v>
      </c>
      <c r="C196" s="99" t="s">
        <v>1410</v>
      </c>
      <c r="D196" s="367">
        <f>+ROUND('Alim CE Costi'!E88+'Alim CE Costi'!E89+'Alim CE Costi'!E90,2)</f>
        <v>36464.79</v>
      </c>
      <c r="E196" s="367">
        <f>+ROUND('Alim CE Costi'!H88+'Alim CE Costi'!H89+'Alim CE Costi'!H90,2)</f>
        <v>3690.93</v>
      </c>
      <c r="F196" s="63"/>
      <c r="G196" s="207"/>
      <c r="H196" s="95"/>
    </row>
    <row r="197" spans="1:8" ht="18.75">
      <c r="A197" s="197"/>
      <c r="B197" s="98" t="s">
        <v>524</v>
      </c>
      <c r="C197" s="99" t="s">
        <v>1411</v>
      </c>
      <c r="D197" s="367">
        <f>+ROUND('Alim CE Costi'!E92+'Alim CE Costi'!E93,2)</f>
        <v>68107.7</v>
      </c>
      <c r="E197" s="367">
        <f>+ROUND('Alim CE Costi'!H92+'Alim CE Costi'!H93,2)</f>
        <v>67148.070000000007</v>
      </c>
      <c r="F197" s="63"/>
      <c r="G197" s="207"/>
      <c r="H197" s="95"/>
    </row>
    <row r="198" spans="1:8" ht="25.5">
      <c r="A198" s="197" t="s">
        <v>1248</v>
      </c>
      <c r="B198" s="98" t="s">
        <v>525</v>
      </c>
      <c r="C198" s="99" t="s">
        <v>1412</v>
      </c>
      <c r="D198" s="367">
        <f>+ROUND('Alim CE Costi'!E95+'Alim CE Costi'!E96+'Alim CE Costi'!E97+'Alim CE Costi'!E98+'Alim CE Costi'!E99+'Alim CE Costi'!E100,2)</f>
        <v>0</v>
      </c>
      <c r="E198" s="367">
        <f>+ROUND('Alim CE Costi'!H95+'Alim CE Costi'!H96+'Alim CE Costi'!H97+'Alim CE Costi'!H98+'Alim CE Costi'!H99+'Alim CE Costi'!H100,2)</f>
        <v>0</v>
      </c>
      <c r="F198" s="63"/>
      <c r="G198" s="207"/>
      <c r="H198" s="95"/>
    </row>
    <row r="199" spans="1:8" ht="18.75">
      <c r="A199" s="197"/>
      <c r="B199" s="121" t="s">
        <v>526</v>
      </c>
      <c r="C199" s="122" t="s">
        <v>1413</v>
      </c>
      <c r="D199" s="364">
        <f t="shared" ref="D199" si="68">+D200+D330</f>
        <v>39545083.780000001</v>
      </c>
      <c r="E199" s="364">
        <f t="shared" ref="E199" si="69">+E200+E330</f>
        <v>28066636</v>
      </c>
      <c r="F199" s="63" t="s">
        <v>1835</v>
      </c>
      <c r="G199" s="207"/>
      <c r="H199" s="95"/>
    </row>
    <row r="200" spans="1:8" ht="18.75">
      <c r="A200" s="197"/>
      <c r="B200" s="116" t="s">
        <v>527</v>
      </c>
      <c r="C200" s="117" t="s">
        <v>1414</v>
      </c>
      <c r="D200" s="365">
        <f t="shared" ref="D200" si="70">+D201+D209+D213+D232+D238+D243+D248+D258+D264+D271+D277+D282+D291+D299+D307+D321+D329</f>
        <v>20812105.27</v>
      </c>
      <c r="E200" s="365">
        <f t="shared" ref="E200" si="71">+E201+E209+E213+E232+E238+E243+E248+E258+E264+E271+E277+E282+E291+E299+E307+E321+E329</f>
        <v>9415066.5200000014</v>
      </c>
      <c r="F200" s="63" t="s">
        <v>1835</v>
      </c>
      <c r="G200" s="207"/>
      <c r="H200" s="95"/>
    </row>
    <row r="201" spans="1:8" ht="25.5">
      <c r="A201" s="197"/>
      <c r="B201" s="134" t="s">
        <v>528</v>
      </c>
      <c r="C201" s="135" t="s">
        <v>1415</v>
      </c>
      <c r="D201" s="366">
        <f t="shared" ref="D201" si="72">+D202+D207+D208</f>
        <v>0</v>
      </c>
      <c r="E201" s="366">
        <f t="shared" ref="E201" si="73">+E202+E207+E208</f>
        <v>0</v>
      </c>
      <c r="F201" s="63" t="s">
        <v>1835</v>
      </c>
      <c r="G201" s="207"/>
      <c r="H201" s="95"/>
    </row>
    <row r="202" spans="1:8" ht="18.75">
      <c r="A202" s="197"/>
      <c r="B202" s="129" t="s">
        <v>529</v>
      </c>
      <c r="C202" s="130" t="s">
        <v>1416</v>
      </c>
      <c r="D202" s="368">
        <f t="shared" ref="D202" si="74">SUM(D203:D206)</f>
        <v>0</v>
      </c>
      <c r="E202" s="368">
        <f t="shared" ref="E202" si="75">SUM(E203:E206)</f>
        <v>0</v>
      </c>
      <c r="F202" s="63" t="s">
        <v>1835</v>
      </c>
      <c r="G202" s="207"/>
      <c r="H202" s="95"/>
    </row>
    <row r="203" spans="1:8" ht="18.75">
      <c r="A203" s="197"/>
      <c r="B203" s="98" t="s">
        <v>530</v>
      </c>
      <c r="C203" s="99" t="s">
        <v>1417</v>
      </c>
      <c r="D203" s="367">
        <f>+ROUND(SUM('Alim CE Costi'!E106:E116),2)</f>
        <v>0</v>
      </c>
      <c r="E203" s="367">
        <f>+ROUND(SUM('Alim CE Costi'!H106:H116),2)</f>
        <v>0</v>
      </c>
      <c r="F203" s="63"/>
      <c r="G203" s="207"/>
      <c r="H203" s="95"/>
    </row>
    <row r="204" spans="1:8" ht="18.75">
      <c r="A204" s="197"/>
      <c r="B204" s="98" t="s">
        <v>531</v>
      </c>
      <c r="C204" s="99" t="s">
        <v>1418</v>
      </c>
      <c r="D204" s="367">
        <f>+ROUND(SUM('Alim CE Costi'!E118:E128),2)</f>
        <v>0</v>
      </c>
      <c r="E204" s="367">
        <f>+ROUND(SUM('Alim CE Costi'!H118:H128),2)</f>
        <v>0</v>
      </c>
      <c r="F204" s="63"/>
      <c r="G204" s="207"/>
      <c r="H204" s="95"/>
    </row>
    <row r="205" spans="1:8" ht="18.75">
      <c r="A205" s="197"/>
      <c r="B205" s="98" t="s">
        <v>532</v>
      </c>
      <c r="C205" s="99" t="s">
        <v>1419</v>
      </c>
      <c r="D205" s="367">
        <f>+ROUND(SUM('Alim CE Costi'!E130:E143),2)</f>
        <v>0</v>
      </c>
      <c r="E205" s="367">
        <f>+ROUND(SUM('Alim CE Costi'!H130:H143),2)</f>
        <v>0</v>
      </c>
      <c r="F205" s="63"/>
      <c r="G205" s="207"/>
      <c r="H205" s="95"/>
    </row>
    <row r="206" spans="1:8" ht="25.5">
      <c r="A206" s="197"/>
      <c r="B206" s="98" t="s">
        <v>546</v>
      </c>
      <c r="C206" s="99" t="s">
        <v>1420</v>
      </c>
      <c r="D206" s="367">
        <f>+ROUND(SUM('Alim CE Costi'!E145:E152),2)</f>
        <v>0</v>
      </c>
      <c r="E206" s="367">
        <f>+ROUND(SUM('Alim CE Costi'!H145:H152),2)</f>
        <v>0</v>
      </c>
      <c r="F206" s="63"/>
      <c r="G206" s="207"/>
      <c r="H206" s="95"/>
    </row>
    <row r="207" spans="1:8" ht="25.5">
      <c r="A207" s="197" t="s">
        <v>1248</v>
      </c>
      <c r="B207" s="98" t="s">
        <v>548</v>
      </c>
      <c r="C207" s="99" t="s">
        <v>1421</v>
      </c>
      <c r="D207" s="367">
        <f>+ROUND('Alim CE Costi'!E154,2)</f>
        <v>0</v>
      </c>
      <c r="E207" s="367">
        <f>+ROUND('Alim CE Costi'!H154,2)</f>
        <v>0</v>
      </c>
      <c r="F207" s="63"/>
      <c r="G207" s="207"/>
      <c r="H207" s="95"/>
    </row>
    <row r="208" spans="1:8" ht="25.5">
      <c r="A208" s="197" t="s">
        <v>1293</v>
      </c>
      <c r="B208" s="98" t="s">
        <v>549</v>
      </c>
      <c r="C208" s="99" t="s">
        <v>1422</v>
      </c>
      <c r="D208" s="367">
        <f>+ROUND('Alim CE Costi'!E156,2)</f>
        <v>0</v>
      </c>
      <c r="E208" s="367">
        <f>+ROUND('Alim CE Costi'!H156,2)</f>
        <v>0</v>
      </c>
      <c r="F208" s="63"/>
      <c r="G208" s="207"/>
      <c r="H208" s="95"/>
    </row>
    <row r="209" spans="1:8" ht="18.75">
      <c r="A209" s="197"/>
      <c r="B209" s="134" t="s">
        <v>550</v>
      </c>
      <c r="C209" s="135" t="s">
        <v>1423</v>
      </c>
      <c r="D209" s="366">
        <f t="shared" ref="D209" si="76">+D210+D211+D212</f>
        <v>0</v>
      </c>
      <c r="E209" s="366">
        <f t="shared" ref="E209" si="77">+E210+E211+E212</f>
        <v>0</v>
      </c>
      <c r="F209" s="63" t="s">
        <v>1835</v>
      </c>
      <c r="G209" s="207"/>
      <c r="H209" s="95"/>
    </row>
    <row r="210" spans="1:8" ht="18.75">
      <c r="A210" s="197"/>
      <c r="B210" s="98" t="s">
        <v>551</v>
      </c>
      <c r="C210" s="99" t="s">
        <v>1424</v>
      </c>
      <c r="D210" s="367">
        <f>+ROUND('Alim CE Costi'!E159+'Alim CE Costi'!E160,2)</f>
        <v>0</v>
      </c>
      <c r="E210" s="367">
        <f>+ROUND('Alim CE Costi'!H159+'Alim CE Costi'!H160,2)</f>
        <v>0</v>
      </c>
      <c r="F210" s="63"/>
      <c r="G210" s="207"/>
      <c r="H210" s="95"/>
    </row>
    <row r="211" spans="1:8" ht="25.5">
      <c r="A211" s="197" t="s">
        <v>1248</v>
      </c>
      <c r="B211" s="98" t="s">
        <v>554</v>
      </c>
      <c r="C211" s="99" t="s">
        <v>1425</v>
      </c>
      <c r="D211" s="367">
        <f>+ROUND('Alim CE Costi'!E162,2)</f>
        <v>0</v>
      </c>
      <c r="E211" s="367">
        <f>+ROUND('Alim CE Costi'!H162,2)</f>
        <v>0</v>
      </c>
      <c r="F211" s="63"/>
      <c r="G211" s="207"/>
      <c r="H211" s="95"/>
    </row>
    <row r="212" spans="1:8" ht="18.75">
      <c r="A212" s="199" t="s">
        <v>1293</v>
      </c>
      <c r="B212" s="98" t="s">
        <v>555</v>
      </c>
      <c r="C212" s="99" t="s">
        <v>1426</v>
      </c>
      <c r="D212" s="367">
        <f>+ROUND('Alim CE Costi'!E164,2)</f>
        <v>0</v>
      </c>
      <c r="E212" s="367">
        <f>+ROUND('Alim CE Costi'!H164,2)</f>
        <v>0</v>
      </c>
      <c r="F212" s="310"/>
      <c r="G212" s="207"/>
      <c r="H212" s="95"/>
    </row>
    <row r="213" spans="1:8" ht="25.5">
      <c r="A213" s="199"/>
      <c r="B213" s="134" t="s">
        <v>556</v>
      </c>
      <c r="C213" s="135" t="s">
        <v>1427</v>
      </c>
      <c r="D213" s="366">
        <f t="shared" ref="D213" si="78">+D214+D215+D216+D217+D218+D219+D220+D221+D230+D231</f>
        <v>2289.62</v>
      </c>
      <c r="E213" s="366">
        <f t="shared" ref="E213" si="79">+E214+E215+E216+E217+E218+E219+E220+E221+E230+E231</f>
        <v>237.97</v>
      </c>
      <c r="F213" s="63" t="s">
        <v>1835</v>
      </c>
      <c r="G213" s="207"/>
      <c r="H213" s="95"/>
    </row>
    <row r="214" spans="1:8" ht="25.5">
      <c r="A214" s="199" t="s">
        <v>1248</v>
      </c>
      <c r="B214" s="98" t="s">
        <v>557</v>
      </c>
      <c r="C214" s="99" t="s">
        <v>1428</v>
      </c>
      <c r="D214" s="367">
        <f>+ROUND('Alim CE Costi'!E167+'Alim CE Costi'!E168,2)</f>
        <v>2153.1999999999998</v>
      </c>
      <c r="E214" s="367">
        <f>+ROUND('Alim CE Costi'!H167+'Alim CE Costi'!H168,2)</f>
        <v>0</v>
      </c>
      <c r="F214" s="310"/>
      <c r="G214" s="207"/>
      <c r="H214" s="95"/>
    </row>
    <row r="215" spans="1:8" ht="38.25">
      <c r="A215" s="199" t="s">
        <v>1248</v>
      </c>
      <c r="B215" s="98" t="s">
        <v>561</v>
      </c>
      <c r="C215" s="99" t="s">
        <v>1429</v>
      </c>
      <c r="D215" s="367">
        <f>+ROUND('Alim CE Costi'!E170,2)</f>
        <v>0</v>
      </c>
      <c r="E215" s="367">
        <f>+ROUND('Alim CE Costi'!H170,2)</f>
        <v>0</v>
      </c>
      <c r="F215" s="310"/>
      <c r="G215" s="207"/>
      <c r="H215" s="95"/>
    </row>
    <row r="216" spans="1:8" ht="18.75">
      <c r="A216" s="199"/>
      <c r="B216" s="98" t="s">
        <v>562</v>
      </c>
      <c r="C216" s="99" t="s">
        <v>1430</v>
      </c>
      <c r="D216" s="367">
        <f>+ROUND('Alim CE Costi'!E172,2)</f>
        <v>0</v>
      </c>
      <c r="E216" s="367">
        <f>+ROUND('Alim CE Costi'!H172,2)</f>
        <v>0</v>
      </c>
      <c r="F216" s="310"/>
      <c r="G216" s="207"/>
      <c r="H216" s="95"/>
    </row>
    <row r="217" spans="1:8" ht="25.5">
      <c r="A217" s="199"/>
      <c r="B217" s="98" t="s">
        <v>564</v>
      </c>
      <c r="C217" s="99" t="s">
        <v>1431</v>
      </c>
      <c r="D217" s="367">
        <f>+ROUND('Alim CE Costi'!E174,2)</f>
        <v>0</v>
      </c>
      <c r="E217" s="367">
        <f>+ROUND('Alim CE Costi'!H174,2)</f>
        <v>0</v>
      </c>
      <c r="F217" s="310"/>
      <c r="G217" s="207"/>
      <c r="H217" s="95"/>
    </row>
    <row r="218" spans="1:8" ht="18.75">
      <c r="A218" s="199" t="s">
        <v>1293</v>
      </c>
      <c r="B218" s="98" t="s">
        <v>565</v>
      </c>
      <c r="C218" s="99" t="s">
        <v>1432</v>
      </c>
      <c r="D218" s="367">
        <f>+ROUND('Alim CE Costi'!E176,2)</f>
        <v>0</v>
      </c>
      <c r="E218" s="367">
        <f>+ROUND('Alim CE Costi'!H176,2)</f>
        <v>0</v>
      </c>
      <c r="F218" s="310"/>
      <c r="G218" s="207"/>
      <c r="H218" s="95"/>
    </row>
    <row r="219" spans="1:8" ht="25.5">
      <c r="A219" s="199" t="s">
        <v>1293</v>
      </c>
      <c r="B219" s="98" t="s">
        <v>569</v>
      </c>
      <c r="C219" s="99" t="s">
        <v>1433</v>
      </c>
      <c r="D219" s="367">
        <f>+ROUND('Alim CE Costi'!E178,2)</f>
        <v>0</v>
      </c>
      <c r="E219" s="367">
        <f>+ROUND('Alim CE Costi'!H178,2)</f>
        <v>0</v>
      </c>
      <c r="F219" s="310"/>
      <c r="G219" s="207"/>
      <c r="H219" s="95"/>
    </row>
    <row r="220" spans="1:8" ht="18.75">
      <c r="A220" s="199"/>
      <c r="B220" s="98" t="s">
        <v>570</v>
      </c>
      <c r="C220" s="99" t="s">
        <v>1434</v>
      </c>
      <c r="D220" s="367">
        <f>+ROUND('Alim CE Costi'!E180+'Alim CE Costi'!E181+'Alim CE Costi'!E182+'Alim CE Costi'!E183+'Alim CE Costi'!E184+'Alim CE Costi'!E185+'Alim CE Costi'!E186,2)</f>
        <v>0</v>
      </c>
      <c r="E220" s="367">
        <f>+ROUND('Alim CE Costi'!H180+'Alim CE Costi'!H181+'Alim CE Costi'!H182+'Alim CE Costi'!H183+'Alim CE Costi'!H184+'Alim CE Costi'!H185+'Alim CE Costi'!H186,2)</f>
        <v>0</v>
      </c>
      <c r="F220" s="310"/>
      <c r="G220" s="207"/>
      <c r="H220" s="95"/>
    </row>
    <row r="221" spans="1:8" ht="18.75">
      <c r="A221" s="199"/>
      <c r="B221" s="129" t="s">
        <v>571</v>
      </c>
      <c r="C221" s="130" t="s">
        <v>1435</v>
      </c>
      <c r="D221" s="368">
        <f t="shared" ref="D221" si="80">SUM(D222:D229)</f>
        <v>136.41999999999999</v>
      </c>
      <c r="E221" s="368">
        <f t="shared" ref="E221" si="81">SUM(E222:E229)</f>
        <v>237.97</v>
      </c>
      <c r="F221" s="63" t="s">
        <v>1835</v>
      </c>
      <c r="G221" s="207"/>
      <c r="H221" s="95"/>
    </row>
    <row r="222" spans="1:8" ht="25.5">
      <c r="A222" s="199"/>
      <c r="B222" s="100" t="s">
        <v>573</v>
      </c>
      <c r="C222" s="101" t="s">
        <v>1436</v>
      </c>
      <c r="D222" s="367">
        <f>+ROUND('Alim CE Costi'!E189,2)</f>
        <v>0</v>
      </c>
      <c r="E222" s="367">
        <f>+ROUND('Alim CE Costi'!H189,2)</f>
        <v>0</v>
      </c>
      <c r="F222" s="310"/>
      <c r="G222" s="207"/>
      <c r="H222" s="95"/>
    </row>
    <row r="223" spans="1:8" ht="38.25">
      <c r="A223" s="199"/>
      <c r="B223" s="100" t="s">
        <v>574</v>
      </c>
      <c r="C223" s="101" t="s">
        <v>1437</v>
      </c>
      <c r="D223" s="367">
        <f>+ROUND('Alim CE Costi'!E191,2)</f>
        <v>0</v>
      </c>
      <c r="E223" s="367">
        <f>+ROUND('Alim CE Costi'!H191,2)</f>
        <v>0</v>
      </c>
      <c r="F223" s="310"/>
      <c r="G223" s="207"/>
      <c r="H223" s="95"/>
    </row>
    <row r="224" spans="1:8" ht="25.5">
      <c r="A224" s="199"/>
      <c r="B224" s="100" t="s">
        <v>576</v>
      </c>
      <c r="C224" s="101" t="s">
        <v>1438</v>
      </c>
      <c r="D224" s="367">
        <f>+ROUND('Alim CE Costi'!E193,2)</f>
        <v>0</v>
      </c>
      <c r="E224" s="367">
        <f>+ROUND('Alim CE Costi'!H193,2)</f>
        <v>0</v>
      </c>
      <c r="F224" s="310"/>
      <c r="G224" s="207"/>
      <c r="H224" s="95"/>
    </row>
    <row r="225" spans="1:8" ht="38.25">
      <c r="A225" s="199"/>
      <c r="B225" s="100" t="s">
        <v>578</v>
      </c>
      <c r="C225" s="101" t="s">
        <v>1439</v>
      </c>
      <c r="D225" s="367">
        <f>+ROUND('Alim CE Costi'!E195,2)</f>
        <v>0</v>
      </c>
      <c r="E225" s="367">
        <f>+ROUND('Alim CE Costi'!H195,2)</f>
        <v>0</v>
      </c>
      <c r="F225" s="310"/>
      <c r="G225" s="207"/>
      <c r="H225" s="95"/>
    </row>
    <row r="226" spans="1:8" ht="25.5">
      <c r="A226" s="199"/>
      <c r="B226" s="100" t="s">
        <v>580</v>
      </c>
      <c r="C226" s="101" t="s">
        <v>1440</v>
      </c>
      <c r="D226" s="367">
        <f>+ROUND('Alim CE Costi'!E197,2)</f>
        <v>136.41999999999999</v>
      </c>
      <c r="E226" s="367">
        <f>+ROUND('Alim CE Costi'!H197,2)</f>
        <v>237.97</v>
      </c>
      <c r="F226" s="310"/>
      <c r="G226" s="207"/>
      <c r="H226" s="95"/>
    </row>
    <row r="227" spans="1:8" ht="25.5">
      <c r="A227" s="199"/>
      <c r="B227" s="100" t="s">
        <v>582</v>
      </c>
      <c r="C227" s="101" t="s">
        <v>1441</v>
      </c>
      <c r="D227" s="367">
        <f>+ROUND('Alim CE Costi'!E199,2)</f>
        <v>0</v>
      </c>
      <c r="E227" s="367">
        <f>+ROUND('Alim CE Costi'!H199,2)</f>
        <v>0</v>
      </c>
      <c r="F227" s="310"/>
      <c r="G227" s="207"/>
      <c r="H227" s="95"/>
    </row>
    <row r="228" spans="1:8" ht="25.5">
      <c r="A228" s="199"/>
      <c r="B228" s="100" t="s">
        <v>584</v>
      </c>
      <c r="C228" s="101" t="s">
        <v>1442</v>
      </c>
      <c r="D228" s="367">
        <f>+ROUND('Alim CE Costi'!E201,2)</f>
        <v>0</v>
      </c>
      <c r="E228" s="367">
        <f>+ROUND('Alim CE Costi'!H201,2)</f>
        <v>0</v>
      </c>
      <c r="F228" s="310"/>
      <c r="G228" s="207"/>
      <c r="H228" s="95"/>
    </row>
    <row r="229" spans="1:8" ht="25.5">
      <c r="A229" s="199"/>
      <c r="B229" s="100" t="s">
        <v>586</v>
      </c>
      <c r="C229" s="101" t="s">
        <v>1443</v>
      </c>
      <c r="D229" s="367">
        <f>+ROUND('Alim CE Costi'!E203,2)</f>
        <v>0</v>
      </c>
      <c r="E229" s="367">
        <f>+ROUND('Alim CE Costi'!H203,2)</f>
        <v>0</v>
      </c>
      <c r="F229" s="310"/>
      <c r="G229" s="207"/>
      <c r="H229" s="95"/>
    </row>
    <row r="230" spans="1:8" ht="25.5">
      <c r="A230" s="199"/>
      <c r="B230" s="98" t="s">
        <v>587</v>
      </c>
      <c r="C230" s="99" t="s">
        <v>1444</v>
      </c>
      <c r="D230" s="367">
        <f>+ROUND('Alim CE Costi'!E205,2)</f>
        <v>0</v>
      </c>
      <c r="E230" s="367">
        <f>+ROUND('Alim CE Costi'!H205,2)</f>
        <v>0</v>
      </c>
      <c r="F230" s="310"/>
      <c r="G230" s="207"/>
      <c r="H230" s="95"/>
    </row>
    <row r="231" spans="1:8" ht="51">
      <c r="A231" s="199"/>
      <c r="B231" s="100" t="s">
        <v>589</v>
      </c>
      <c r="C231" s="101" t="s">
        <v>1445</v>
      </c>
      <c r="D231" s="367">
        <f>+ROUND('Alim CE Costi'!E207,2)</f>
        <v>0</v>
      </c>
      <c r="E231" s="367">
        <f>+ROUND('Alim CE Costi'!H207,2)</f>
        <v>0</v>
      </c>
      <c r="F231" s="310"/>
      <c r="G231" s="207"/>
      <c r="H231" s="95"/>
    </row>
    <row r="232" spans="1:8" ht="25.5">
      <c r="A232" s="197"/>
      <c r="B232" s="134" t="s">
        <v>590</v>
      </c>
      <c r="C232" s="135" t="s">
        <v>1446</v>
      </c>
      <c r="D232" s="366">
        <f t="shared" ref="D232" si="82">SUM(D233:D237)</f>
        <v>0</v>
      </c>
      <c r="E232" s="366">
        <f t="shared" ref="E232" si="83">SUM(E233:E237)</f>
        <v>0</v>
      </c>
      <c r="F232" s="63" t="s">
        <v>1835</v>
      </c>
      <c r="G232" s="207"/>
      <c r="H232" s="95"/>
    </row>
    <row r="233" spans="1:8" ht="25.5">
      <c r="A233" s="197" t="s">
        <v>1248</v>
      </c>
      <c r="B233" s="98" t="s">
        <v>591</v>
      </c>
      <c r="C233" s="99" t="s">
        <v>1447</v>
      </c>
      <c r="D233" s="367">
        <f>+ROUND('Alim CE Costi'!E210,2)</f>
        <v>0</v>
      </c>
      <c r="E233" s="367">
        <f>+ROUND('Alim CE Costi'!H210,2)</f>
        <v>0</v>
      </c>
      <c r="F233" s="63"/>
      <c r="G233" s="207"/>
      <c r="H233" s="95"/>
    </row>
    <row r="234" spans="1:8" ht="18.75">
      <c r="A234" s="197"/>
      <c r="B234" s="98" t="s">
        <v>592</v>
      </c>
      <c r="C234" s="99" t="s">
        <v>1448</v>
      </c>
      <c r="D234" s="367">
        <f>+ROUND('Alim CE Costi'!E212,2)</f>
        <v>0</v>
      </c>
      <c r="E234" s="367">
        <f>+ROUND('Alim CE Costi'!H212,2)</f>
        <v>0</v>
      </c>
      <c r="F234" s="63"/>
      <c r="G234" s="207"/>
      <c r="H234" s="95"/>
    </row>
    <row r="235" spans="1:8" ht="25.5">
      <c r="A235" s="197" t="s">
        <v>1297</v>
      </c>
      <c r="B235" s="98" t="s">
        <v>593</v>
      </c>
      <c r="C235" s="99" t="s">
        <v>1449</v>
      </c>
      <c r="D235" s="367">
        <f>+ROUND('Alim CE Costi'!E214,2)</f>
        <v>0</v>
      </c>
      <c r="E235" s="367">
        <f>+ROUND('Alim CE Costi'!H214,2)</f>
        <v>0</v>
      </c>
      <c r="F235" s="63"/>
      <c r="G235" s="207"/>
      <c r="H235" s="95"/>
    </row>
    <row r="236" spans="1:8" ht="18.75">
      <c r="A236" s="197"/>
      <c r="B236" s="98" t="s">
        <v>594</v>
      </c>
      <c r="C236" s="99" t="s">
        <v>1450</v>
      </c>
      <c r="D236" s="367">
        <f>+ROUND('Alim CE Costi'!E216+'Alim CE Costi'!E217,2)</f>
        <v>0</v>
      </c>
      <c r="E236" s="367">
        <f>+ROUND('Alim CE Costi'!H216+'Alim CE Costi'!H217,2)</f>
        <v>0</v>
      </c>
      <c r="F236" s="63"/>
      <c r="G236" s="207"/>
      <c r="H236" s="95"/>
    </row>
    <row r="237" spans="1:8" ht="18.75">
      <c r="A237" s="197"/>
      <c r="B237" s="98" t="s">
        <v>595</v>
      </c>
      <c r="C237" s="99" t="s">
        <v>1451</v>
      </c>
      <c r="D237" s="367">
        <f>+ROUND('Alim CE Costi'!E219+'Alim CE Costi'!E220,2)</f>
        <v>0</v>
      </c>
      <c r="E237" s="367">
        <f>+ROUND('Alim CE Costi'!H219+'Alim CE Costi'!H220,2)</f>
        <v>0</v>
      </c>
      <c r="F237" s="63"/>
      <c r="G237" s="207"/>
      <c r="H237" s="95"/>
    </row>
    <row r="238" spans="1:8" ht="25.5">
      <c r="A238" s="197"/>
      <c r="B238" s="134" t="s">
        <v>596</v>
      </c>
      <c r="C238" s="135" t="s">
        <v>1452</v>
      </c>
      <c r="D238" s="366">
        <f t="shared" ref="D238" si="84">SUM(D239:D242)</f>
        <v>0</v>
      </c>
      <c r="E238" s="366">
        <f t="shared" ref="E238" si="85">SUM(E239:E242)</f>
        <v>0</v>
      </c>
      <c r="F238" s="63" t="s">
        <v>1835</v>
      </c>
      <c r="G238" s="207"/>
      <c r="H238" s="95"/>
    </row>
    <row r="239" spans="1:8" ht="25.5">
      <c r="A239" s="197" t="s">
        <v>1248</v>
      </c>
      <c r="B239" s="98" t="s">
        <v>597</v>
      </c>
      <c r="C239" s="99" t="s">
        <v>1453</v>
      </c>
      <c r="D239" s="367">
        <f>+ROUND('Alim CE Costi'!E223,2)</f>
        <v>0</v>
      </c>
      <c r="E239" s="367">
        <f>+ROUND('Alim CE Costi'!H223,2)</f>
        <v>0</v>
      </c>
      <c r="F239" s="63"/>
      <c r="G239" s="207"/>
      <c r="H239" s="95"/>
    </row>
    <row r="240" spans="1:8" ht="18.75">
      <c r="A240" s="197"/>
      <c r="B240" s="98" t="s">
        <v>598</v>
      </c>
      <c r="C240" s="99" t="s">
        <v>1454</v>
      </c>
      <c r="D240" s="367">
        <f>+ROUND('Alim CE Costi'!E225,2)</f>
        <v>0</v>
      </c>
      <c r="E240" s="367">
        <f>+ROUND('Alim CE Costi'!H225,2)</f>
        <v>0</v>
      </c>
      <c r="F240" s="63"/>
      <c r="G240" s="207"/>
      <c r="H240" s="95"/>
    </row>
    <row r="241" spans="1:8" ht="18.75">
      <c r="A241" s="199" t="s">
        <v>1293</v>
      </c>
      <c r="B241" s="98" t="s">
        <v>599</v>
      </c>
      <c r="C241" s="99" t="s">
        <v>1455</v>
      </c>
      <c r="D241" s="367">
        <f>+ROUND('Alim CE Costi'!E227,2)</f>
        <v>0</v>
      </c>
      <c r="E241" s="367">
        <f>+ROUND('Alim CE Costi'!H227,2)</f>
        <v>0</v>
      </c>
      <c r="F241" s="310"/>
      <c r="G241" s="207"/>
      <c r="H241" s="95"/>
    </row>
    <row r="242" spans="1:8" ht="18.75">
      <c r="A242" s="199"/>
      <c r="B242" s="98" t="s">
        <v>600</v>
      </c>
      <c r="C242" s="99" t="s">
        <v>1456</v>
      </c>
      <c r="D242" s="367">
        <f>+ROUND('Alim CE Costi'!E229+'Alim CE Costi'!E230+'Alim CE Costi'!E231,2)</f>
        <v>0</v>
      </c>
      <c r="E242" s="367">
        <f>+ROUND('Alim CE Costi'!H229+'Alim CE Costi'!H230+'Alim CE Costi'!H231,2)</f>
        <v>0</v>
      </c>
      <c r="F242" s="310"/>
      <c r="G242" s="207"/>
      <c r="H242" s="95"/>
    </row>
    <row r="243" spans="1:8" ht="25.5">
      <c r="A243" s="199"/>
      <c r="B243" s="134" t="s">
        <v>1457</v>
      </c>
      <c r="C243" s="135" t="s">
        <v>1458</v>
      </c>
      <c r="D243" s="366">
        <f t="shared" ref="D243" si="86">SUM(D244:D247)</f>
        <v>0</v>
      </c>
      <c r="E243" s="366">
        <f t="shared" ref="E243" si="87">SUM(E244:E247)</f>
        <v>0</v>
      </c>
      <c r="F243" s="63" t="s">
        <v>1835</v>
      </c>
      <c r="G243" s="207"/>
      <c r="H243" s="95"/>
    </row>
    <row r="244" spans="1:8" ht="25.5">
      <c r="A244" s="199" t="s">
        <v>1248</v>
      </c>
      <c r="B244" s="98" t="s">
        <v>605</v>
      </c>
      <c r="C244" s="99" t="s">
        <v>1459</v>
      </c>
      <c r="D244" s="367">
        <f>+ROUND('Alim CE Costi'!E234,2)</f>
        <v>0</v>
      </c>
      <c r="E244" s="367">
        <f>+ROUND('Alim CE Costi'!H234,2)</f>
        <v>0</v>
      </c>
      <c r="F244" s="310"/>
      <c r="G244" s="207"/>
      <c r="H244" s="95"/>
    </row>
    <row r="245" spans="1:8" ht="18.75">
      <c r="A245" s="199"/>
      <c r="B245" s="98" t="s">
        <v>606</v>
      </c>
      <c r="C245" s="99" t="s">
        <v>1460</v>
      </c>
      <c r="D245" s="367">
        <f>+ROUND('Alim CE Costi'!E236,2)</f>
        <v>0</v>
      </c>
      <c r="E245" s="367">
        <f>+ROUND('Alim CE Costi'!H236,2)</f>
        <v>0</v>
      </c>
      <c r="F245" s="310"/>
      <c r="G245" s="207"/>
      <c r="H245" s="95"/>
    </row>
    <row r="246" spans="1:8" ht="18.75">
      <c r="A246" s="199" t="s">
        <v>1293</v>
      </c>
      <c r="B246" s="98" t="s">
        <v>607</v>
      </c>
      <c r="C246" s="99" t="s">
        <v>1461</v>
      </c>
      <c r="D246" s="367">
        <f>+ROUND('Alim CE Costi'!E238,2)</f>
        <v>0</v>
      </c>
      <c r="E246" s="367">
        <f>+ROUND('Alim CE Costi'!H238,2)</f>
        <v>0</v>
      </c>
      <c r="F246" s="310"/>
      <c r="G246" s="207"/>
      <c r="H246" s="95"/>
    </row>
    <row r="247" spans="1:8" ht="18.75">
      <c r="A247" s="199"/>
      <c r="B247" s="98" t="s">
        <v>608</v>
      </c>
      <c r="C247" s="99" t="s">
        <v>1462</v>
      </c>
      <c r="D247" s="367">
        <f>+ROUND('Alim CE Costi'!E240+'Alim CE Costi'!E241,2)</f>
        <v>0</v>
      </c>
      <c r="E247" s="367">
        <f>+ROUND('Alim CE Costi'!H240+'Alim CE Costi'!H241,2)</f>
        <v>0</v>
      </c>
      <c r="F247" s="310"/>
      <c r="G247" s="207"/>
      <c r="H247" s="95"/>
    </row>
    <row r="248" spans="1:8" ht="25.5">
      <c r="A248" s="199"/>
      <c r="B248" s="134" t="s">
        <v>611</v>
      </c>
      <c r="C248" s="135" t="s">
        <v>1463</v>
      </c>
      <c r="D248" s="366">
        <f t="shared" ref="D248" si="88">SUM(D249:D252,D257)</f>
        <v>0</v>
      </c>
      <c r="E248" s="366">
        <f t="shared" ref="E248" si="89">SUM(E249:E252,E257)</f>
        <v>0</v>
      </c>
      <c r="F248" s="63" t="s">
        <v>1835</v>
      </c>
      <c r="G248" s="207"/>
      <c r="H248" s="95"/>
    </row>
    <row r="249" spans="1:8" ht="25.5">
      <c r="A249" s="199" t="s">
        <v>1248</v>
      </c>
      <c r="B249" s="98" t="s">
        <v>612</v>
      </c>
      <c r="C249" s="99" t="s">
        <v>1464</v>
      </c>
      <c r="D249" s="367">
        <f>+ROUND('Alim CE Costi'!E244+'Alim CE Costi'!E245,2)</f>
        <v>0</v>
      </c>
      <c r="E249" s="367">
        <f>+ROUND('Alim CE Costi'!H244+'Alim CE Costi'!H245,2)</f>
        <v>0</v>
      </c>
      <c r="F249" s="310"/>
      <c r="G249" s="207"/>
      <c r="H249" s="95"/>
    </row>
    <row r="250" spans="1:8" ht="18.75">
      <c r="A250" s="199"/>
      <c r="B250" s="98" t="s">
        <v>615</v>
      </c>
      <c r="C250" s="99" t="s">
        <v>1465</v>
      </c>
      <c r="D250" s="367">
        <f>+ROUND('Alim CE Costi'!E247,2)</f>
        <v>0</v>
      </c>
      <c r="E250" s="367">
        <f>+ROUND('Alim CE Costi'!H247,2)</f>
        <v>0</v>
      </c>
      <c r="F250" s="310"/>
      <c r="G250" s="207"/>
      <c r="H250" s="95"/>
    </row>
    <row r="251" spans="1:8" ht="18.75">
      <c r="A251" s="199" t="s">
        <v>1293</v>
      </c>
      <c r="B251" s="98" t="s">
        <v>616</v>
      </c>
      <c r="C251" s="99" t="s">
        <v>1466</v>
      </c>
      <c r="D251" s="367">
        <f>+ROUND('Alim CE Costi'!E249,2)</f>
        <v>0</v>
      </c>
      <c r="E251" s="367">
        <f>+ROUND('Alim CE Costi'!H249,2)</f>
        <v>0</v>
      </c>
      <c r="F251" s="310"/>
      <c r="G251" s="207"/>
      <c r="H251" s="95"/>
    </row>
    <row r="252" spans="1:8" ht="18.75">
      <c r="A252" s="199"/>
      <c r="B252" s="129" t="s">
        <v>619</v>
      </c>
      <c r="C252" s="130" t="s">
        <v>1467</v>
      </c>
      <c r="D252" s="368">
        <f t="shared" ref="D252" si="90">SUM(D253:D256)</f>
        <v>0</v>
      </c>
      <c r="E252" s="368">
        <f t="shared" ref="E252" si="91">SUM(E253:E256)</f>
        <v>0</v>
      </c>
      <c r="F252" s="63" t="s">
        <v>1835</v>
      </c>
      <c r="G252" s="207"/>
      <c r="H252" s="95"/>
    </row>
    <row r="253" spans="1:8" ht="25.5">
      <c r="A253" s="199"/>
      <c r="B253" s="100" t="s">
        <v>621</v>
      </c>
      <c r="C253" s="101" t="s">
        <v>1468</v>
      </c>
      <c r="D253" s="367">
        <f>+ROUND('Alim CE Costi'!E252,2)</f>
        <v>0</v>
      </c>
      <c r="E253" s="367">
        <f>+ROUND('Alim CE Costi'!H252,2)</f>
        <v>0</v>
      </c>
      <c r="F253" s="310"/>
      <c r="G253" s="207"/>
      <c r="H253" s="95"/>
    </row>
    <row r="254" spans="1:8" ht="25.5">
      <c r="A254" s="199"/>
      <c r="B254" s="100" t="s">
        <v>623</v>
      </c>
      <c r="C254" s="101" t="s">
        <v>1469</v>
      </c>
      <c r="D254" s="367">
        <f>+ROUND('Alim CE Costi'!E254,2)</f>
        <v>0</v>
      </c>
      <c r="E254" s="367">
        <f>+ROUND('Alim CE Costi'!H254,2)</f>
        <v>0</v>
      </c>
      <c r="F254" s="310"/>
      <c r="G254" s="207"/>
      <c r="H254" s="95"/>
    </row>
    <row r="255" spans="1:8" ht="25.5">
      <c r="A255" s="199"/>
      <c r="B255" s="100" t="s">
        <v>625</v>
      </c>
      <c r="C255" s="101" t="s">
        <v>1470</v>
      </c>
      <c r="D255" s="367">
        <f>+ROUND('Alim CE Costi'!E256,2)</f>
        <v>0</v>
      </c>
      <c r="E255" s="367">
        <f>+ROUND('Alim CE Costi'!H256,2)</f>
        <v>0</v>
      </c>
      <c r="F255" s="310"/>
      <c r="G255" s="207"/>
      <c r="H255" s="95"/>
    </row>
    <row r="256" spans="1:8" ht="25.5">
      <c r="A256" s="199"/>
      <c r="B256" s="100" t="s">
        <v>627</v>
      </c>
      <c r="C256" s="101" t="s">
        <v>1471</v>
      </c>
      <c r="D256" s="367">
        <f>+ROUND('Alim CE Costi'!E258,2)</f>
        <v>0</v>
      </c>
      <c r="E256" s="367">
        <f>+ROUND('Alim CE Costi'!H258,2)</f>
        <v>0</v>
      </c>
      <c r="F256" s="310"/>
      <c r="G256" s="207"/>
      <c r="H256" s="95"/>
    </row>
    <row r="257" spans="1:8" ht="25.5">
      <c r="A257" s="199"/>
      <c r="B257" s="98" t="s">
        <v>628</v>
      </c>
      <c r="C257" s="99" t="s">
        <v>1472</v>
      </c>
      <c r="D257" s="367">
        <f>+ROUND('Alim CE Costi'!E260,2)</f>
        <v>0</v>
      </c>
      <c r="E257" s="367">
        <f>+ROUND('Alim CE Costi'!H260,2)</f>
        <v>0</v>
      </c>
      <c r="F257" s="310"/>
      <c r="G257" s="207"/>
      <c r="H257" s="95"/>
    </row>
    <row r="258" spans="1:8" ht="25.5">
      <c r="A258" s="199"/>
      <c r="B258" s="134" t="s">
        <v>629</v>
      </c>
      <c r="C258" s="135" t="s">
        <v>1473</v>
      </c>
      <c r="D258" s="366">
        <f t="shared" ref="D258" si="92">SUM(D259:D263)</f>
        <v>0</v>
      </c>
      <c r="E258" s="366">
        <f t="shared" ref="E258" si="93">SUM(E259:E263)</f>
        <v>0</v>
      </c>
      <c r="F258" s="63" t="s">
        <v>1835</v>
      </c>
      <c r="G258" s="207"/>
      <c r="H258" s="95"/>
    </row>
    <row r="259" spans="1:8" ht="25.5">
      <c r="A259" s="199" t="s">
        <v>1248</v>
      </c>
      <c r="B259" s="98" t="s">
        <v>630</v>
      </c>
      <c r="C259" s="99" t="s">
        <v>1474</v>
      </c>
      <c r="D259" s="367">
        <f>+ROUND('Alim CE Costi'!E263,2)</f>
        <v>0</v>
      </c>
      <c r="E259" s="367">
        <f>+ROUND('Alim CE Costi'!H263,2)</f>
        <v>0</v>
      </c>
      <c r="F259" s="310"/>
      <c r="G259" s="207"/>
      <c r="H259" s="95"/>
    </row>
    <row r="260" spans="1:8" ht="18.75">
      <c r="A260" s="197"/>
      <c r="B260" s="98" t="s">
        <v>631</v>
      </c>
      <c r="C260" s="99" t="s">
        <v>1475</v>
      </c>
      <c r="D260" s="367">
        <f>+ROUND('Alim CE Costi'!E265,2)</f>
        <v>0</v>
      </c>
      <c r="E260" s="367">
        <f>+ROUND('Alim CE Costi'!H265,2)</f>
        <v>0</v>
      </c>
      <c r="F260" s="63"/>
      <c r="G260" s="207"/>
      <c r="H260" s="95"/>
    </row>
    <row r="261" spans="1:8" ht="25.5">
      <c r="A261" s="197" t="s">
        <v>1297</v>
      </c>
      <c r="B261" s="98" t="s">
        <v>632</v>
      </c>
      <c r="C261" s="99" t="s">
        <v>1476</v>
      </c>
      <c r="D261" s="367">
        <f>+ROUND('Alim CE Costi'!E267,2)</f>
        <v>0</v>
      </c>
      <c r="E261" s="367">
        <f>+ROUND('Alim CE Costi'!H267,2)</f>
        <v>0</v>
      </c>
      <c r="F261" s="63"/>
      <c r="G261" s="207"/>
      <c r="H261" s="95"/>
    </row>
    <row r="262" spans="1:8" ht="18.75">
      <c r="A262" s="197"/>
      <c r="B262" s="98" t="s">
        <v>633</v>
      </c>
      <c r="C262" s="99" t="s">
        <v>1477</v>
      </c>
      <c r="D262" s="367">
        <f>+ROUND('Alim CE Costi'!E269,2)</f>
        <v>0</v>
      </c>
      <c r="E262" s="367">
        <f>+ROUND('Alim CE Costi'!H269,2)</f>
        <v>0</v>
      </c>
      <c r="F262" s="63"/>
      <c r="G262" s="207"/>
      <c r="H262" s="95"/>
    </row>
    <row r="263" spans="1:8" ht="18.75">
      <c r="A263" s="197"/>
      <c r="B263" s="98" t="s">
        <v>634</v>
      </c>
      <c r="C263" s="99" t="s">
        <v>1478</v>
      </c>
      <c r="D263" s="367">
        <f>+ROUND('Alim CE Costi'!E271,2)</f>
        <v>0</v>
      </c>
      <c r="E263" s="367">
        <f>+ROUND('Alim CE Costi'!H271,2)</f>
        <v>0</v>
      </c>
      <c r="F263" s="63"/>
      <c r="G263" s="207"/>
      <c r="H263" s="95"/>
    </row>
    <row r="264" spans="1:8" ht="25.5">
      <c r="A264" s="197"/>
      <c r="B264" s="134" t="s">
        <v>635</v>
      </c>
      <c r="C264" s="135" t="s">
        <v>1479</v>
      </c>
      <c r="D264" s="366">
        <f t="shared" ref="D264" si="94">SUM(D265:D270)</f>
        <v>0</v>
      </c>
      <c r="E264" s="366">
        <f t="shared" ref="E264" si="95">SUM(E265:E270)</f>
        <v>0</v>
      </c>
      <c r="F264" s="63" t="s">
        <v>1835</v>
      </c>
      <c r="G264" s="207"/>
      <c r="H264" s="95"/>
    </row>
    <row r="265" spans="1:8" ht="25.5">
      <c r="A265" s="197" t="s">
        <v>1248</v>
      </c>
      <c r="B265" s="98" t="s">
        <v>636</v>
      </c>
      <c r="C265" s="99" t="s">
        <v>1480</v>
      </c>
      <c r="D265" s="367">
        <f>+ROUND('Alim CE Costi'!E274+'Alim CE Costi'!E275,2)</f>
        <v>0</v>
      </c>
      <c r="E265" s="367">
        <f>+ROUND('Alim CE Costi'!H274+'Alim CE Costi'!H275,2)</f>
        <v>0</v>
      </c>
      <c r="F265" s="63"/>
      <c r="G265" s="207"/>
      <c r="H265" s="95"/>
    </row>
    <row r="266" spans="1:8" ht="18.75">
      <c r="A266" s="197"/>
      <c r="B266" s="98" t="s">
        <v>639</v>
      </c>
      <c r="C266" s="99" t="s">
        <v>1481</v>
      </c>
      <c r="D266" s="367">
        <f>+ROUND('Alim CE Costi'!E277,2)</f>
        <v>0</v>
      </c>
      <c r="E266" s="367">
        <f>+ROUND('Alim CE Costi'!H277,2)</f>
        <v>0</v>
      </c>
      <c r="F266" s="63"/>
      <c r="G266" s="207"/>
      <c r="H266" s="95"/>
    </row>
    <row r="267" spans="1:8" ht="18.75">
      <c r="A267" s="197" t="s">
        <v>1293</v>
      </c>
      <c r="B267" s="98" t="s">
        <v>640</v>
      </c>
      <c r="C267" s="99" t="s">
        <v>1482</v>
      </c>
      <c r="D267" s="367">
        <f>+ROUND('Alim CE Costi'!E279,2)</f>
        <v>0</v>
      </c>
      <c r="E267" s="367">
        <f>+ROUND('Alim CE Costi'!H279,2)</f>
        <v>0</v>
      </c>
      <c r="F267" s="63"/>
      <c r="G267" s="207"/>
      <c r="H267" s="95"/>
    </row>
    <row r="268" spans="1:8" ht="18.75">
      <c r="A268" s="197"/>
      <c r="B268" s="98" t="s">
        <v>641</v>
      </c>
      <c r="C268" s="99" t="s">
        <v>1483</v>
      </c>
      <c r="D268" s="367">
        <f>+ROUND('Alim CE Costi'!E281,2)</f>
        <v>0</v>
      </c>
      <c r="E268" s="367">
        <f>+ROUND('Alim CE Costi'!H281,2)</f>
        <v>0</v>
      </c>
      <c r="F268" s="63"/>
      <c r="G268" s="207"/>
      <c r="H268" s="95"/>
    </row>
    <row r="269" spans="1:8" ht="18.75">
      <c r="A269" s="197"/>
      <c r="B269" s="98" t="s">
        <v>642</v>
      </c>
      <c r="C269" s="99" t="s">
        <v>1484</v>
      </c>
      <c r="D269" s="367">
        <f>+ROUND('Alim CE Costi'!E283,2)</f>
        <v>0</v>
      </c>
      <c r="E269" s="367">
        <f>+ROUND('Alim CE Costi'!H283,2)</f>
        <v>0</v>
      </c>
      <c r="F269" s="63"/>
      <c r="G269" s="207"/>
      <c r="H269" s="95"/>
    </row>
    <row r="270" spans="1:8" ht="25.5">
      <c r="A270" s="197"/>
      <c r="B270" s="98" t="s">
        <v>643</v>
      </c>
      <c r="C270" s="99" t="s">
        <v>1485</v>
      </c>
      <c r="D270" s="367">
        <f>+ROUND('Alim CE Costi'!E285,2)</f>
        <v>0</v>
      </c>
      <c r="E270" s="367">
        <f>+ROUND('Alim CE Costi'!H285,2)</f>
        <v>0</v>
      </c>
      <c r="F270" s="63"/>
      <c r="G270" s="207"/>
      <c r="H270" s="95"/>
    </row>
    <row r="271" spans="1:8" ht="25.5">
      <c r="A271" s="197"/>
      <c r="B271" s="134" t="s">
        <v>644</v>
      </c>
      <c r="C271" s="135" t="s">
        <v>1486</v>
      </c>
      <c r="D271" s="366">
        <f t="shared" ref="D271" si="96">SUM(D272:D276)</f>
        <v>0</v>
      </c>
      <c r="E271" s="366">
        <f t="shared" ref="E271" si="97">SUM(E272:E276)</f>
        <v>0</v>
      </c>
      <c r="F271" s="63" t="s">
        <v>1835</v>
      </c>
      <c r="G271" s="207"/>
      <c r="H271" s="95"/>
    </row>
    <row r="272" spans="1:8" ht="25.5">
      <c r="A272" s="197" t="s">
        <v>1248</v>
      </c>
      <c r="B272" s="98" t="s">
        <v>645</v>
      </c>
      <c r="C272" s="99" t="s">
        <v>1487</v>
      </c>
      <c r="D272" s="367">
        <f>+ROUND('Alim CE Costi'!E288,2)</f>
        <v>0</v>
      </c>
      <c r="E272" s="367">
        <f>+ROUND('Alim CE Costi'!H288,2)</f>
        <v>0</v>
      </c>
      <c r="F272" s="63"/>
      <c r="G272" s="207"/>
      <c r="H272" s="95"/>
    </row>
    <row r="273" spans="1:8" ht="25.5">
      <c r="A273" s="197"/>
      <c r="B273" s="98" t="s">
        <v>646</v>
      </c>
      <c r="C273" s="99" t="s">
        <v>1488</v>
      </c>
      <c r="D273" s="367">
        <f>+ROUND('Alim CE Costi'!E290,2)</f>
        <v>0</v>
      </c>
      <c r="E273" s="367">
        <f>+ROUND('Alim CE Costi'!H290,2)</f>
        <v>0</v>
      </c>
      <c r="F273" s="63"/>
      <c r="G273" s="207"/>
      <c r="H273" s="95"/>
    </row>
    <row r="274" spans="1:8" ht="18.75">
      <c r="A274" s="197" t="s">
        <v>1293</v>
      </c>
      <c r="B274" s="98" t="s">
        <v>647</v>
      </c>
      <c r="C274" s="99" t="s">
        <v>1489</v>
      </c>
      <c r="D274" s="367">
        <f>+ROUND('Alim CE Costi'!E292,2)</f>
        <v>0</v>
      </c>
      <c r="E274" s="367">
        <f>+ROUND('Alim CE Costi'!H292,2)</f>
        <v>0</v>
      </c>
      <c r="F274" s="63"/>
      <c r="G274" s="207"/>
      <c r="H274" s="95"/>
    </row>
    <row r="275" spans="1:8" ht="18.75">
      <c r="A275" s="197"/>
      <c r="B275" s="98" t="s">
        <v>648</v>
      </c>
      <c r="C275" s="99" t="s">
        <v>1490</v>
      </c>
      <c r="D275" s="367">
        <f>+ROUND('Alim CE Costi'!E294,2)</f>
        <v>0</v>
      </c>
      <c r="E275" s="367">
        <f>+ROUND('Alim CE Costi'!H294,2)</f>
        <v>0</v>
      </c>
      <c r="F275" s="63"/>
      <c r="G275" s="207"/>
      <c r="H275" s="95"/>
    </row>
    <row r="276" spans="1:8" ht="25.5">
      <c r="A276" s="197"/>
      <c r="B276" s="98" t="s">
        <v>649</v>
      </c>
      <c r="C276" s="99" t="s">
        <v>1491</v>
      </c>
      <c r="D276" s="367">
        <f>+ROUND('Alim CE Costi'!E296,2)</f>
        <v>0</v>
      </c>
      <c r="E276" s="367">
        <f>+ROUND('Alim CE Costi'!H296,2)</f>
        <v>0</v>
      </c>
      <c r="F276" s="63"/>
      <c r="G276" s="207"/>
      <c r="H276" s="95"/>
    </row>
    <row r="277" spans="1:8" ht="25.5">
      <c r="A277" s="197"/>
      <c r="B277" s="134" t="s">
        <v>650</v>
      </c>
      <c r="C277" s="135" t="s">
        <v>1492</v>
      </c>
      <c r="D277" s="366">
        <f t="shared" ref="D277" si="98">SUM(D278:D281)</f>
        <v>0</v>
      </c>
      <c r="E277" s="366">
        <f t="shared" ref="E277" si="99">SUM(E278:E281)</f>
        <v>0</v>
      </c>
      <c r="F277" s="63" t="s">
        <v>1835</v>
      </c>
      <c r="G277" s="207"/>
      <c r="H277" s="95"/>
    </row>
    <row r="278" spans="1:8" ht="25.5">
      <c r="A278" s="197" t="s">
        <v>1248</v>
      </c>
      <c r="B278" s="98" t="s">
        <v>651</v>
      </c>
      <c r="C278" s="99" t="s">
        <v>1493</v>
      </c>
      <c r="D278" s="367">
        <f>+ROUND('Alim CE Costi'!E299,2)</f>
        <v>0</v>
      </c>
      <c r="E278" s="367">
        <f>+ROUND('Alim CE Costi'!H299,2)</f>
        <v>0</v>
      </c>
      <c r="F278" s="63"/>
      <c r="G278" s="207"/>
      <c r="H278" s="95"/>
    </row>
    <row r="279" spans="1:8" ht="25.5">
      <c r="A279" s="197"/>
      <c r="B279" s="98" t="s">
        <v>652</v>
      </c>
      <c r="C279" s="99" t="s">
        <v>1494</v>
      </c>
      <c r="D279" s="367">
        <f>+ROUND('Alim CE Costi'!E301,2)</f>
        <v>0</v>
      </c>
      <c r="E279" s="367">
        <f>+ROUND('Alim CE Costi'!H301,2)</f>
        <v>0</v>
      </c>
      <c r="F279" s="63"/>
      <c r="G279" s="207"/>
      <c r="H279" s="95"/>
    </row>
    <row r="280" spans="1:8" ht="18.75">
      <c r="A280" s="197" t="s">
        <v>1293</v>
      </c>
      <c r="B280" s="98" t="s">
        <v>653</v>
      </c>
      <c r="C280" s="99" t="s">
        <v>1495</v>
      </c>
      <c r="D280" s="367">
        <f>+ROUND('Alim CE Costi'!E303,2)</f>
        <v>0</v>
      </c>
      <c r="E280" s="367">
        <f>+ROUND('Alim CE Costi'!H303,2)</f>
        <v>0</v>
      </c>
      <c r="F280" s="63"/>
      <c r="G280" s="207"/>
      <c r="H280" s="95"/>
    </row>
    <row r="281" spans="1:8" ht="18.75">
      <c r="A281" s="197"/>
      <c r="B281" s="98" t="s">
        <v>654</v>
      </c>
      <c r="C281" s="99" t="s">
        <v>1496</v>
      </c>
      <c r="D281" s="367">
        <f>+ROUND('Alim CE Costi'!E305+'Alim CE Costi'!E306+'Alim CE Costi'!E307+'Alim CE Costi'!E308,2)</f>
        <v>0</v>
      </c>
      <c r="E281" s="367">
        <f>+ROUND('Alim CE Costi'!H305+'Alim CE Costi'!H306+'Alim CE Costi'!H307+'Alim CE Costi'!H308,2)</f>
        <v>0</v>
      </c>
      <c r="F281" s="63"/>
      <c r="G281" s="207"/>
      <c r="H281" s="95"/>
    </row>
    <row r="282" spans="1:8" ht="25.5">
      <c r="A282" s="197"/>
      <c r="B282" s="134" t="s">
        <v>659</v>
      </c>
      <c r="C282" s="135" t="s">
        <v>1497</v>
      </c>
      <c r="D282" s="366">
        <f t="shared" ref="D282" si="100">+D283+D286+D288+D289+D290+D287</f>
        <v>0</v>
      </c>
      <c r="E282" s="366">
        <f t="shared" ref="E282" si="101">+E283+E286+E288+E289+E290+E287</f>
        <v>0</v>
      </c>
      <c r="F282" s="63" t="s">
        <v>1835</v>
      </c>
      <c r="G282" s="207"/>
      <c r="H282" s="95"/>
    </row>
    <row r="283" spans="1:8" ht="25.5">
      <c r="A283" s="197" t="s">
        <v>1248</v>
      </c>
      <c r="B283" s="129" t="s">
        <v>660</v>
      </c>
      <c r="C283" s="130" t="s">
        <v>1498</v>
      </c>
      <c r="D283" s="368">
        <f t="shared" ref="D283" si="102">+D284+D285</f>
        <v>0</v>
      </c>
      <c r="E283" s="368">
        <f t="shared" ref="E283" si="103">+E284+E285</f>
        <v>0</v>
      </c>
      <c r="F283" s="63" t="s">
        <v>1835</v>
      </c>
      <c r="G283" s="207"/>
      <c r="H283" s="95"/>
    </row>
    <row r="284" spans="1:8" ht="18.75">
      <c r="A284" s="199" t="s">
        <v>1248</v>
      </c>
      <c r="B284" s="100" t="s">
        <v>662</v>
      </c>
      <c r="C284" s="101" t="s">
        <v>1499</v>
      </c>
      <c r="D284" s="367">
        <f>+ROUND('Alim CE Costi'!E312,2)</f>
        <v>0</v>
      </c>
      <c r="E284" s="367">
        <f>+ROUND('Alim CE Costi'!H312,2)</f>
        <v>0</v>
      </c>
      <c r="F284" s="310"/>
      <c r="G284" s="207"/>
      <c r="H284" s="95"/>
    </row>
    <row r="285" spans="1:8" ht="25.5">
      <c r="A285" s="199" t="s">
        <v>1248</v>
      </c>
      <c r="B285" s="100" t="s">
        <v>663</v>
      </c>
      <c r="C285" s="101" t="s">
        <v>1500</v>
      </c>
      <c r="D285" s="367">
        <f>+ROUND('Alim CE Costi'!E314,2)</f>
        <v>0</v>
      </c>
      <c r="E285" s="367">
        <f>+ROUND('Alim CE Costi'!H314,2)</f>
        <v>0</v>
      </c>
      <c r="F285" s="310"/>
      <c r="G285" s="207"/>
      <c r="H285" s="95"/>
    </row>
    <row r="286" spans="1:8" ht="25.5">
      <c r="A286" s="197"/>
      <c r="B286" s="98" t="s">
        <v>664</v>
      </c>
      <c r="C286" s="99" t="s">
        <v>1501</v>
      </c>
      <c r="D286" s="367">
        <f>+ROUND('Alim CE Costi'!E316+'Alim CE Costi'!E317+'Alim CE Costi'!E318+'Alim CE Costi'!E319,2)</f>
        <v>0</v>
      </c>
      <c r="E286" s="367">
        <f>+ROUND('Alim CE Costi'!H316+'Alim CE Costi'!H317+'Alim CE Costi'!H318+'Alim CE Costi'!H319,2)</f>
        <v>0</v>
      </c>
      <c r="F286" s="63"/>
      <c r="G286" s="207"/>
      <c r="H286" s="95"/>
    </row>
    <row r="287" spans="1:8" ht="38.25">
      <c r="A287" s="197" t="s">
        <v>1293</v>
      </c>
      <c r="B287" s="98" t="s">
        <v>669</v>
      </c>
      <c r="C287" s="99" t="s">
        <v>1502</v>
      </c>
      <c r="D287" s="367">
        <f>+ROUND('Alim CE Costi'!E321,2)</f>
        <v>0</v>
      </c>
      <c r="E287" s="367">
        <f>+ROUND('Alim CE Costi'!H321,2)</f>
        <v>0</v>
      </c>
      <c r="F287" s="63"/>
      <c r="G287" s="207"/>
      <c r="H287" s="95"/>
    </row>
    <row r="288" spans="1:8" ht="25.5">
      <c r="A288" s="197" t="s">
        <v>1297</v>
      </c>
      <c r="B288" s="98" t="s">
        <v>670</v>
      </c>
      <c r="C288" s="99" t="s">
        <v>1503</v>
      </c>
      <c r="D288" s="367">
        <f>+ROUND('Alim CE Costi'!E323+'Alim CE Costi'!E324+'Alim CE Costi'!E325,2)</f>
        <v>0</v>
      </c>
      <c r="E288" s="367">
        <f>+ROUND('Alim CE Costi'!H323+'Alim CE Costi'!H324+'Alim CE Costi'!H325,2)</f>
        <v>0</v>
      </c>
      <c r="F288" s="63"/>
      <c r="G288" s="207"/>
      <c r="H288" s="95"/>
    </row>
    <row r="289" spans="1:8" ht="18.75">
      <c r="A289" s="197"/>
      <c r="B289" s="98" t="s">
        <v>671</v>
      </c>
      <c r="C289" s="99" t="s">
        <v>1504</v>
      </c>
      <c r="D289" s="367">
        <f>+ROUND('Alim CE Costi'!E327+'Alim CE Costi'!E328+'Alim CE Costi'!E329+'Alim CE Costi'!E330+'Alim CE Costi'!E331+'Alim CE Costi'!E332+'Alim CE Costi'!E333+'Alim CE Costi'!E334,2)</f>
        <v>0</v>
      </c>
      <c r="E289" s="367">
        <f>+ROUND('Alim CE Costi'!H327+'Alim CE Costi'!H328+'Alim CE Costi'!H329+'Alim CE Costi'!H330+'Alim CE Costi'!H331+'Alim CE Costi'!H332+'Alim CE Costi'!H333+'Alim CE Costi'!H334,2)</f>
        <v>0</v>
      </c>
      <c r="F289" s="63"/>
      <c r="G289" s="207"/>
      <c r="H289" s="95"/>
    </row>
    <row r="290" spans="1:8" ht="18.75">
      <c r="A290" s="197"/>
      <c r="B290" s="98" t="s">
        <v>676</v>
      </c>
      <c r="C290" s="99" t="s">
        <v>1505</v>
      </c>
      <c r="D290" s="367">
        <f>+ROUND('Alim CE Costi'!E336+'Alim CE Costi'!E337,2)</f>
        <v>0</v>
      </c>
      <c r="E290" s="367">
        <f>+ROUND('Alim CE Costi'!H336+'Alim CE Costi'!H337,2)</f>
        <v>0</v>
      </c>
      <c r="F290" s="63"/>
      <c r="G290" s="207"/>
      <c r="H290" s="95"/>
    </row>
    <row r="291" spans="1:8" ht="25.5">
      <c r="A291" s="197"/>
      <c r="B291" s="134" t="s">
        <v>678</v>
      </c>
      <c r="C291" s="135" t="s">
        <v>1506</v>
      </c>
      <c r="D291" s="366">
        <f t="shared" ref="D291" si="104">SUM(D292:D298)</f>
        <v>0</v>
      </c>
      <c r="E291" s="366">
        <f t="shared" ref="E291" si="105">SUM(E292:E298)</f>
        <v>4399.26</v>
      </c>
      <c r="F291" s="63" t="s">
        <v>1835</v>
      </c>
      <c r="G291" s="207"/>
      <c r="H291" s="95"/>
    </row>
    <row r="292" spans="1:8" ht="25.5">
      <c r="A292" s="197"/>
      <c r="B292" s="98" t="s">
        <v>680</v>
      </c>
      <c r="C292" s="99" t="s">
        <v>1507</v>
      </c>
      <c r="D292" s="367">
        <f>+ROUND('Alim CE Costi'!E340,2)</f>
        <v>0</v>
      </c>
      <c r="E292" s="367">
        <f>+ROUND('Alim CE Costi'!H340,2)</f>
        <v>0</v>
      </c>
      <c r="F292" s="63"/>
      <c r="G292" s="207"/>
      <c r="H292" s="95"/>
    </row>
    <row r="293" spans="1:8" ht="25.5">
      <c r="A293" s="197"/>
      <c r="B293" s="98" t="s">
        <v>682</v>
      </c>
      <c r="C293" s="99" t="s">
        <v>1508</v>
      </c>
      <c r="D293" s="367">
        <f>+ROUND('Alim CE Costi'!E342,2)</f>
        <v>0</v>
      </c>
      <c r="E293" s="367">
        <f>+ROUND('Alim CE Costi'!H342,2)</f>
        <v>0</v>
      </c>
      <c r="F293" s="63"/>
      <c r="G293" s="207"/>
      <c r="H293" s="95"/>
    </row>
    <row r="294" spans="1:8" ht="25.5">
      <c r="A294" s="197"/>
      <c r="B294" s="98" t="s">
        <v>684</v>
      </c>
      <c r="C294" s="99" t="s">
        <v>1509</v>
      </c>
      <c r="D294" s="367">
        <f>+ROUND('Alim CE Costi'!E344,2)</f>
        <v>0</v>
      </c>
      <c r="E294" s="367">
        <f>+ROUND('Alim CE Costi'!H344,2)</f>
        <v>0</v>
      </c>
      <c r="F294" s="63"/>
      <c r="G294" s="207"/>
      <c r="H294" s="95"/>
    </row>
    <row r="295" spans="1:8" ht="38.25">
      <c r="A295" s="197"/>
      <c r="B295" s="98" t="s">
        <v>685</v>
      </c>
      <c r="C295" s="99" t="s">
        <v>1510</v>
      </c>
      <c r="D295" s="367">
        <f>+ROUND('Alim CE Costi'!E346+'Alim CE Costi'!E347+'Alim CE Costi'!E348+'Alim CE Costi'!E349,2)</f>
        <v>0</v>
      </c>
      <c r="E295" s="367">
        <f>+ROUND('Alim CE Costi'!H346+'Alim CE Costi'!H347+'Alim CE Costi'!H348+'Alim CE Costi'!H349,2)</f>
        <v>0</v>
      </c>
      <c r="F295" s="63"/>
      <c r="G295" s="207"/>
      <c r="H295" s="95"/>
    </row>
    <row r="296" spans="1:8" ht="51">
      <c r="A296" s="197" t="s">
        <v>1248</v>
      </c>
      <c r="B296" s="98" t="s">
        <v>689</v>
      </c>
      <c r="C296" s="99" t="s">
        <v>1511</v>
      </c>
      <c r="D296" s="367">
        <f>+ROUND('Alim CE Costi'!E351+'Alim CE Costi'!E352+'Alim CE Costi'!E353+'Alim CE Costi'!E354,2)</f>
        <v>0</v>
      </c>
      <c r="E296" s="367">
        <f>+ROUND('Alim CE Costi'!H351+'Alim CE Costi'!H352+'Alim CE Costi'!H353+'Alim CE Costi'!H354,2)</f>
        <v>0</v>
      </c>
      <c r="F296" s="63"/>
      <c r="G296" s="207"/>
      <c r="H296" s="95"/>
    </row>
    <row r="297" spans="1:8" ht="25.5">
      <c r="A297" s="197"/>
      <c r="B297" s="98" t="s">
        <v>690</v>
      </c>
      <c r="C297" s="99" t="s">
        <v>1512</v>
      </c>
      <c r="D297" s="367">
        <f>+ROUND(SUM('Alim CE Costi'!E356:E366),2)</f>
        <v>0</v>
      </c>
      <c r="E297" s="367">
        <f>+ROUND(SUM('Alim CE Costi'!H356:H366),2)</f>
        <v>4399.26</v>
      </c>
      <c r="F297" s="63"/>
      <c r="G297" s="207"/>
      <c r="H297" s="95"/>
    </row>
    <row r="298" spans="1:8" ht="38.25">
      <c r="A298" s="197" t="s">
        <v>1248</v>
      </c>
      <c r="B298" s="98" t="s">
        <v>697</v>
      </c>
      <c r="C298" s="99" t="s">
        <v>1513</v>
      </c>
      <c r="D298" s="367">
        <f>+ROUND(SUM('Alim CE Costi'!E368:E376),2)</f>
        <v>0</v>
      </c>
      <c r="E298" s="367">
        <f>+ROUND(SUM('Alim CE Costi'!H368:H376),2)</f>
        <v>0</v>
      </c>
      <c r="F298" s="63"/>
      <c r="G298" s="207"/>
      <c r="H298" s="95"/>
    </row>
    <row r="299" spans="1:8" ht="18.75">
      <c r="A299" s="197"/>
      <c r="B299" s="134" t="s">
        <v>698</v>
      </c>
      <c r="C299" s="135" t="s">
        <v>1514</v>
      </c>
      <c r="D299" s="366">
        <f t="shared" ref="D299" si="106">SUM(D300:D306)</f>
        <v>15913358.43</v>
      </c>
      <c r="E299" s="366">
        <f t="shared" ref="E299" si="107">SUM(E300:E306)</f>
        <v>5081023.0600000005</v>
      </c>
      <c r="F299" s="63" t="s">
        <v>1835</v>
      </c>
      <c r="G299" s="207"/>
      <c r="H299" s="95"/>
    </row>
    <row r="300" spans="1:8" ht="18.75">
      <c r="A300" s="197"/>
      <c r="B300" s="98" t="s">
        <v>700</v>
      </c>
      <c r="C300" s="99" t="s">
        <v>1515</v>
      </c>
      <c r="D300" s="367">
        <f>+ROUND('Alim CE Costi'!E379,2)</f>
        <v>2936718.89</v>
      </c>
      <c r="E300" s="367">
        <f>+ROUND('Alim CE Costi'!H379,2)</f>
        <v>2275663.12</v>
      </c>
      <c r="F300" s="63"/>
      <c r="G300" s="207"/>
      <c r="H300" s="95"/>
    </row>
    <row r="301" spans="1:8" ht="18.75">
      <c r="A301" s="197"/>
      <c r="B301" s="98" t="s">
        <v>702</v>
      </c>
      <c r="C301" s="99" t="s">
        <v>1516</v>
      </c>
      <c r="D301" s="367">
        <f>+ROUND('Alim CE Costi'!E381,2)</f>
        <v>0</v>
      </c>
      <c r="E301" s="367">
        <f>+ROUND('Alim CE Costi'!H381,2)</f>
        <v>0</v>
      </c>
      <c r="F301" s="63"/>
      <c r="G301" s="207"/>
      <c r="H301" s="95"/>
    </row>
    <row r="302" spans="1:8" ht="25.5">
      <c r="A302" s="197"/>
      <c r="B302" s="98" t="s">
        <v>704</v>
      </c>
      <c r="C302" s="99" t="s">
        <v>1517</v>
      </c>
      <c r="D302" s="367">
        <f>+ROUND('Alim CE Costi'!E383,2)</f>
        <v>0</v>
      </c>
      <c r="E302" s="367">
        <f>+ROUND('Alim CE Costi'!H383,2)</f>
        <v>0</v>
      </c>
      <c r="F302" s="63"/>
      <c r="G302" s="207"/>
      <c r="H302" s="95"/>
    </row>
    <row r="303" spans="1:8" ht="18.75">
      <c r="A303" s="197"/>
      <c r="B303" s="98" t="s">
        <v>706</v>
      </c>
      <c r="C303" s="99" t="s">
        <v>1518</v>
      </c>
      <c r="D303" s="367">
        <f>+ROUND('Alim CE Costi'!E385,2)</f>
        <v>0</v>
      </c>
      <c r="E303" s="367">
        <f>+ROUND('Alim CE Costi'!H385,2)</f>
        <v>0</v>
      </c>
      <c r="F303" s="63"/>
      <c r="G303" s="207"/>
      <c r="H303" s="95"/>
    </row>
    <row r="304" spans="1:8" ht="18.75">
      <c r="A304" s="197"/>
      <c r="B304" s="98" t="s">
        <v>708</v>
      </c>
      <c r="C304" s="99" t="s">
        <v>1519</v>
      </c>
      <c r="D304" s="367">
        <f>+ROUND(SUM('Alim CE Costi'!E387:E396),2)</f>
        <v>298068.2</v>
      </c>
      <c r="E304" s="367">
        <f>+ROUND(SUM('Alim CE Costi'!H387:H396),2)</f>
        <v>130011.4</v>
      </c>
      <c r="F304" s="63"/>
      <c r="G304" s="207"/>
      <c r="H304" s="95"/>
    </row>
    <row r="305" spans="1:8" ht="25.5">
      <c r="A305" s="197" t="s">
        <v>1248</v>
      </c>
      <c r="B305" s="98" t="s">
        <v>718</v>
      </c>
      <c r="C305" s="99" t="s">
        <v>1520</v>
      </c>
      <c r="D305" s="367">
        <f>+ROUND('Alim CE Costi'!E398+'Alim CE Costi'!E399,2)</f>
        <v>12678571.34</v>
      </c>
      <c r="E305" s="367">
        <f>+ROUND('Alim CE Costi'!H398+'Alim CE Costi'!H399,2)</f>
        <v>2675348.54</v>
      </c>
      <c r="F305" s="63"/>
      <c r="G305" s="207"/>
      <c r="H305" s="95"/>
    </row>
    <row r="306" spans="1:8" ht="18.75">
      <c r="A306" s="197" t="s">
        <v>1248</v>
      </c>
      <c r="B306" s="98" t="s">
        <v>722</v>
      </c>
      <c r="C306" s="99" t="s">
        <v>1521</v>
      </c>
      <c r="D306" s="367">
        <f>+ROUND('Alim CE Costi'!E401,2)</f>
        <v>0</v>
      </c>
      <c r="E306" s="367">
        <f>+ROUND('Alim CE Costi'!H401,2)</f>
        <v>0</v>
      </c>
      <c r="F306" s="63"/>
      <c r="G306" s="207"/>
      <c r="H306" s="104"/>
    </row>
    <row r="307" spans="1:8" ht="25.5">
      <c r="A307" s="197"/>
      <c r="B307" s="134" t="s">
        <v>723</v>
      </c>
      <c r="C307" s="135" t="s">
        <v>1522</v>
      </c>
      <c r="D307" s="366">
        <f t="shared" ref="D307" si="108">SUM(D308:D310,D317)</f>
        <v>2035549.8800000001</v>
      </c>
      <c r="E307" s="366">
        <f t="shared" ref="E307" si="109">SUM(E308:E310,E317)</f>
        <v>2066765.1900000002</v>
      </c>
      <c r="F307" s="63" t="s">
        <v>1835</v>
      </c>
      <c r="G307" s="207"/>
      <c r="H307" s="95"/>
    </row>
    <row r="308" spans="1:8" ht="25.5">
      <c r="A308" s="199" t="s">
        <v>1248</v>
      </c>
      <c r="B308" s="98" t="s">
        <v>725</v>
      </c>
      <c r="C308" s="99" t="s">
        <v>1523</v>
      </c>
      <c r="D308" s="367">
        <f>+ROUND('Alim CE Costi'!E404,2)</f>
        <v>13763.97</v>
      </c>
      <c r="E308" s="367">
        <f>+ROUND('Alim CE Costi'!H404,2)</f>
        <v>49195.58</v>
      </c>
      <c r="F308" s="310"/>
      <c r="G308" s="207"/>
      <c r="H308" s="95"/>
    </row>
    <row r="309" spans="1:8" ht="25.5">
      <c r="A309" s="199"/>
      <c r="B309" s="98" t="s">
        <v>727</v>
      </c>
      <c r="C309" s="99" t="s">
        <v>1524</v>
      </c>
      <c r="D309" s="367">
        <f>+ROUND('Alim CE Costi'!E406,2)</f>
        <v>250857.16</v>
      </c>
      <c r="E309" s="367">
        <f>+ROUND('Alim CE Costi'!H406,2)</f>
        <v>0</v>
      </c>
      <c r="F309" s="310"/>
      <c r="G309" s="207"/>
      <c r="H309" s="95"/>
    </row>
    <row r="310" spans="1:8" ht="25.5">
      <c r="A310" s="199"/>
      <c r="B310" s="129" t="s">
        <v>728</v>
      </c>
      <c r="C310" s="130" t="s">
        <v>1525</v>
      </c>
      <c r="D310" s="368">
        <f t="shared" ref="D310" si="110">SUM(D311:D316)</f>
        <v>1715126.24</v>
      </c>
      <c r="E310" s="368">
        <f t="shared" ref="E310" si="111">SUM(E311:E316)</f>
        <v>1885616.8</v>
      </c>
      <c r="F310" s="63" t="s">
        <v>1835</v>
      </c>
      <c r="G310" s="207"/>
      <c r="H310" s="95"/>
    </row>
    <row r="311" spans="1:8" ht="25.5">
      <c r="A311" s="199"/>
      <c r="B311" s="100" t="s">
        <v>730</v>
      </c>
      <c r="C311" s="101" t="s">
        <v>1526</v>
      </c>
      <c r="D311" s="367">
        <f>+ROUND('Alim CE Costi'!E409,2)</f>
        <v>0</v>
      </c>
      <c r="E311" s="367">
        <f>+ROUND('Alim CE Costi'!H409,2)</f>
        <v>0</v>
      </c>
      <c r="F311" s="310"/>
      <c r="G311" s="207"/>
      <c r="H311" s="95"/>
    </row>
    <row r="312" spans="1:8" ht="25.5">
      <c r="A312" s="199"/>
      <c r="B312" s="100" t="s">
        <v>731</v>
      </c>
      <c r="C312" s="101" t="s">
        <v>1527</v>
      </c>
      <c r="D312" s="367">
        <f>+ROUND('Alim CE Costi'!E411+'Alim CE Costi'!E413+'Alim CE Costi'!E412,2)</f>
        <v>171510</v>
      </c>
      <c r="E312" s="367">
        <f>+ROUND('Alim CE Costi'!H411+'Alim CE Costi'!H413+'Alim CE Costi'!H412,2)</f>
        <v>170832.5</v>
      </c>
      <c r="F312" s="310"/>
      <c r="G312" s="207"/>
      <c r="H312" s="95"/>
    </row>
    <row r="313" spans="1:8" ht="25.5">
      <c r="A313" s="199"/>
      <c r="B313" s="100" t="s">
        <v>735</v>
      </c>
      <c r="C313" s="101" t="s">
        <v>1528</v>
      </c>
      <c r="D313" s="367">
        <f>+ROUND('Alim CE Costi'!E415+'Alim CE Costi'!E416+'Alim CE Costi'!E417+'Alim CE Costi'!E418,2)</f>
        <v>0</v>
      </c>
      <c r="E313" s="367">
        <f>+ROUND('Alim CE Costi'!H415+'Alim CE Costi'!H416+'Alim CE Costi'!H417+'Alim CE Costi'!H418,2)</f>
        <v>0</v>
      </c>
      <c r="F313" s="310"/>
      <c r="G313" s="207"/>
      <c r="H313" s="95"/>
    </row>
    <row r="314" spans="1:8" ht="25.5">
      <c r="A314" s="199"/>
      <c r="B314" s="100" t="s">
        <v>740</v>
      </c>
      <c r="C314" s="101" t="s">
        <v>1529</v>
      </c>
      <c r="D314" s="367">
        <f>+ROUND(SUM('Alim CE Costi'!E420:E425),2)</f>
        <v>0</v>
      </c>
      <c r="E314" s="367">
        <f>+ROUND(SUM('Alim CE Costi'!H420:H425),2)</f>
        <v>0</v>
      </c>
      <c r="F314" s="310"/>
      <c r="G314" s="207"/>
      <c r="H314" s="95"/>
    </row>
    <row r="315" spans="1:8" ht="18.75">
      <c r="A315" s="199"/>
      <c r="B315" s="100" t="s">
        <v>741</v>
      </c>
      <c r="C315" s="101" t="s">
        <v>1530</v>
      </c>
      <c r="D315" s="367">
        <f>+ROUND('Alim CE Costi'!E427,2)</f>
        <v>0</v>
      </c>
      <c r="E315" s="367">
        <f>+ROUND('Alim CE Costi'!H427,2)</f>
        <v>0</v>
      </c>
      <c r="F315" s="310"/>
      <c r="G315" s="207"/>
      <c r="H315" s="95"/>
    </row>
    <row r="316" spans="1:8" ht="25.5">
      <c r="A316" s="199"/>
      <c r="B316" s="100" t="s">
        <v>742</v>
      </c>
      <c r="C316" s="101" t="s">
        <v>1531</v>
      </c>
      <c r="D316" s="367">
        <f>+ROUND(SUM('Alim CE Costi'!E429:E437),2)</f>
        <v>1543616.24</v>
      </c>
      <c r="E316" s="367">
        <f>+ROUND(SUM('Alim CE Costi'!H429:H437),2)</f>
        <v>1714784.3</v>
      </c>
      <c r="F316" s="310"/>
      <c r="G316" s="207"/>
      <c r="H316" s="95"/>
    </row>
    <row r="317" spans="1:8" ht="25.5">
      <c r="A317" s="199"/>
      <c r="B317" s="129" t="s">
        <v>751</v>
      </c>
      <c r="C317" s="130" t="s">
        <v>1532</v>
      </c>
      <c r="D317" s="368">
        <f t="shared" ref="D317" si="112">SUM(D318:D320)</f>
        <v>55802.51</v>
      </c>
      <c r="E317" s="368">
        <f t="shared" ref="E317" si="113">SUM(E318:E320)</f>
        <v>131952.81</v>
      </c>
      <c r="F317" s="63" t="s">
        <v>1835</v>
      </c>
      <c r="G317" s="207"/>
      <c r="H317" s="95"/>
    </row>
    <row r="318" spans="1:8" ht="25.5">
      <c r="A318" s="199" t="s">
        <v>1248</v>
      </c>
      <c r="B318" s="100" t="s">
        <v>753</v>
      </c>
      <c r="C318" s="101" t="s">
        <v>1533</v>
      </c>
      <c r="D318" s="367">
        <f>+ROUND('Alim CE Costi'!E440,2)</f>
        <v>55802.51</v>
      </c>
      <c r="E318" s="367">
        <f>+ROUND('Alim CE Costi'!H440,2)</f>
        <v>131952.81</v>
      </c>
      <c r="F318" s="310"/>
      <c r="G318" s="207"/>
      <c r="H318" s="95"/>
    </row>
    <row r="319" spans="1:8" ht="25.5">
      <c r="A319" s="199"/>
      <c r="B319" s="100" t="s">
        <v>755</v>
      </c>
      <c r="C319" s="101" t="s">
        <v>1534</v>
      </c>
      <c r="D319" s="367">
        <f>+ROUND('Alim CE Costi'!E442,2)</f>
        <v>0</v>
      </c>
      <c r="E319" s="367">
        <f>+ROUND('Alim CE Costi'!H442,2)</f>
        <v>0</v>
      </c>
      <c r="F319" s="310"/>
      <c r="G319" s="207"/>
      <c r="H319" s="95"/>
    </row>
    <row r="320" spans="1:8" ht="25.5">
      <c r="A320" s="199" t="s">
        <v>1297</v>
      </c>
      <c r="B320" s="100" t="s">
        <v>757</v>
      </c>
      <c r="C320" s="101" t="s">
        <v>1535</v>
      </c>
      <c r="D320" s="367">
        <f>+ROUND('Alim CE Costi'!E444,2)</f>
        <v>0</v>
      </c>
      <c r="E320" s="367">
        <f>+ROUND('Alim CE Costi'!H444,2)</f>
        <v>0</v>
      </c>
      <c r="F320" s="310"/>
      <c r="G320" s="207"/>
      <c r="H320" s="95"/>
    </row>
    <row r="321" spans="1:8" ht="25.5">
      <c r="A321" s="199"/>
      <c r="B321" s="134" t="s">
        <v>758</v>
      </c>
      <c r="C321" s="135" t="s">
        <v>1536</v>
      </c>
      <c r="D321" s="366">
        <f t="shared" ref="D321" si="114">SUM(D322:D328)</f>
        <v>2860907.34</v>
      </c>
      <c r="E321" s="366">
        <f t="shared" ref="E321" si="115">SUM(E322:E328)</f>
        <v>2262641.04</v>
      </c>
      <c r="F321" s="63" t="s">
        <v>1835</v>
      </c>
      <c r="G321" s="207"/>
      <c r="H321" s="95"/>
    </row>
    <row r="322" spans="1:8" ht="38.25">
      <c r="A322" s="199" t="s">
        <v>1248</v>
      </c>
      <c r="B322" s="98" t="s">
        <v>760</v>
      </c>
      <c r="C322" s="99" t="s">
        <v>1537</v>
      </c>
      <c r="D322" s="367">
        <f>+ROUND('Alim CE Costi'!E447,2)</f>
        <v>0</v>
      </c>
      <c r="E322" s="367">
        <f>+ROUND('Alim CE Costi'!H447,2)</f>
        <v>0</v>
      </c>
      <c r="F322" s="310"/>
      <c r="G322" s="207"/>
      <c r="H322" s="95"/>
    </row>
    <row r="323" spans="1:8" ht="25.5">
      <c r="A323" s="199"/>
      <c r="B323" s="98" t="s">
        <v>762</v>
      </c>
      <c r="C323" s="99" t="s">
        <v>1538</v>
      </c>
      <c r="D323" s="367">
        <f>+ROUND('Alim CE Costi'!E449,2)</f>
        <v>0</v>
      </c>
      <c r="E323" s="367">
        <f>+ROUND('Alim CE Costi'!H449,2)</f>
        <v>0</v>
      </c>
      <c r="F323" s="310"/>
      <c r="G323" s="207"/>
      <c r="H323" s="95"/>
    </row>
    <row r="324" spans="1:8" ht="25.5">
      <c r="A324" s="199" t="s">
        <v>1297</v>
      </c>
      <c r="B324" s="98" t="s">
        <v>764</v>
      </c>
      <c r="C324" s="99" t="s">
        <v>1539</v>
      </c>
      <c r="D324" s="367">
        <f>+ROUND('Alim CE Costi'!E451,2)</f>
        <v>219220</v>
      </c>
      <c r="E324" s="367">
        <f>+ROUND('Alim CE Costi'!H451,2)</f>
        <v>0</v>
      </c>
      <c r="F324" s="310"/>
      <c r="G324" s="207"/>
      <c r="H324" s="95"/>
    </row>
    <row r="325" spans="1:8" ht="18.75">
      <c r="A325" s="199"/>
      <c r="B325" s="98" t="s">
        <v>766</v>
      </c>
      <c r="C325" s="99" t="s">
        <v>1540</v>
      </c>
      <c r="D325" s="367">
        <f>+ROUND('Alim CE Costi'!E453+'Alim CE Costi'!E454+'Alim CE Costi'!E456+'Alim CE Costi'!E455,2)</f>
        <v>2641687.34</v>
      </c>
      <c r="E325" s="367">
        <f>+ROUND('Alim CE Costi'!H453+'Alim CE Costi'!H454+'Alim CE Costi'!H456+'Alim CE Costi'!H455,2)</f>
        <v>2262641.04</v>
      </c>
      <c r="F325" s="310"/>
      <c r="G325" s="207"/>
      <c r="H325" s="95"/>
    </row>
    <row r="326" spans="1:8" ht="25.5">
      <c r="A326" s="197"/>
      <c r="B326" s="98" t="s">
        <v>769</v>
      </c>
      <c r="C326" s="99" t="s">
        <v>1541</v>
      </c>
      <c r="D326" s="367">
        <f>+ROUND('Alim CE Costi'!E458,2)</f>
        <v>0</v>
      </c>
      <c r="E326" s="367">
        <f>+ROUND('Alim CE Costi'!H458,2)</f>
        <v>0</v>
      </c>
      <c r="F326" s="63"/>
      <c r="G326" s="207"/>
      <c r="H326" s="95"/>
    </row>
    <row r="327" spans="1:8" ht="25.5">
      <c r="A327" s="197" t="s">
        <v>1248</v>
      </c>
      <c r="B327" s="98" t="s">
        <v>771</v>
      </c>
      <c r="C327" s="99" t="s">
        <v>1542</v>
      </c>
      <c r="D327" s="367">
        <f>+ROUND('Alim CE Costi'!E460,2)</f>
        <v>0</v>
      </c>
      <c r="E327" s="367">
        <f>+ROUND('Alim CE Costi'!H460,2)</f>
        <v>0</v>
      </c>
      <c r="F327" s="63"/>
      <c r="G327" s="207"/>
      <c r="H327" s="95"/>
    </row>
    <row r="328" spans="1:8" ht="25.5">
      <c r="A328" s="197" t="s">
        <v>1297</v>
      </c>
      <c r="B328" s="98" t="s">
        <v>773</v>
      </c>
      <c r="C328" s="99" t="s">
        <v>1543</v>
      </c>
      <c r="D328" s="367">
        <f>+ROUND('Alim CE Costi'!E462,2)</f>
        <v>0</v>
      </c>
      <c r="E328" s="367">
        <f>+ROUND('Alim CE Costi'!H462,2)</f>
        <v>0</v>
      </c>
      <c r="F328" s="63"/>
      <c r="G328" s="207"/>
      <c r="H328" s="95"/>
    </row>
    <row r="329" spans="1:8" ht="25.5">
      <c r="A329" s="200" t="s">
        <v>1293</v>
      </c>
      <c r="B329" s="96" t="s">
        <v>774</v>
      </c>
      <c r="C329" s="97" t="s">
        <v>1544</v>
      </c>
      <c r="D329" s="367">
        <f>+ROUND('Alim CE Costi'!E464,2)</f>
        <v>0</v>
      </c>
      <c r="E329" s="367">
        <f>+ROUND('Alim CE Costi'!H464,2)</f>
        <v>0</v>
      </c>
      <c r="F329" s="63"/>
      <c r="G329" s="207"/>
      <c r="H329" s="95"/>
    </row>
    <row r="330" spans="1:8" ht="18.75">
      <c r="A330" s="197"/>
      <c r="B330" s="116" t="s">
        <v>776</v>
      </c>
      <c r="C330" s="117" t="s">
        <v>1545</v>
      </c>
      <c r="D330" s="365">
        <f t="shared" ref="D330" si="116">+D331+D351+D365</f>
        <v>18732978.510000002</v>
      </c>
      <c r="E330" s="365">
        <f t="shared" ref="E330" si="117">+E331+E351+E365</f>
        <v>18651569.48</v>
      </c>
      <c r="F330" s="63" t="s">
        <v>1835</v>
      </c>
      <c r="G330" s="207"/>
      <c r="H330" s="95"/>
    </row>
    <row r="331" spans="1:8" ht="18.75">
      <c r="A331" s="197"/>
      <c r="B331" s="134" t="s">
        <v>777</v>
      </c>
      <c r="C331" s="135" t="s">
        <v>1546</v>
      </c>
      <c r="D331" s="366">
        <f t="shared" ref="D331" si="118">+D332+D333+D334+D337+D338+D339+D340+D341+D342+D343+D344+D347</f>
        <v>18398739.75</v>
      </c>
      <c r="E331" s="366">
        <f t="shared" ref="E331" si="119">+E332+E333+E334+E337+E338+E339+E340+E341+E342+E343+E344+E347</f>
        <v>17875143.859999999</v>
      </c>
      <c r="F331" s="63" t="s">
        <v>1835</v>
      </c>
      <c r="G331" s="207"/>
      <c r="H331" s="95"/>
    </row>
    <row r="332" spans="1:8" ht="18.75">
      <c r="A332" s="197"/>
      <c r="B332" s="98" t="s">
        <v>779</v>
      </c>
      <c r="C332" s="99" t="s">
        <v>1547</v>
      </c>
      <c r="D332" s="367">
        <f>+ROUND('Alim CE Costi'!E468,2)</f>
        <v>8719.92</v>
      </c>
      <c r="E332" s="367">
        <f>+ROUND('Alim CE Costi'!H468,2)</f>
        <v>6522.12</v>
      </c>
      <c r="F332" s="63"/>
      <c r="G332" s="207"/>
      <c r="H332" s="95"/>
    </row>
    <row r="333" spans="1:8" ht="18.75">
      <c r="A333" s="197"/>
      <c r="B333" s="98" t="s">
        <v>781</v>
      </c>
      <c r="C333" s="99" t="s">
        <v>1548</v>
      </c>
      <c r="D333" s="367">
        <f>+ROUND('Alim CE Costi'!E470,2)</f>
        <v>54861.24</v>
      </c>
      <c r="E333" s="367">
        <f>+ROUND('Alim CE Costi'!H470,2)</f>
        <v>51417.599999999999</v>
      </c>
      <c r="F333" s="63"/>
      <c r="G333" s="207"/>
      <c r="H333" s="95"/>
    </row>
    <row r="334" spans="1:8" ht="18.75">
      <c r="A334" s="197"/>
      <c r="B334" s="129" t="s">
        <v>782</v>
      </c>
      <c r="C334" s="130" t="s">
        <v>1549</v>
      </c>
      <c r="D334" s="368">
        <f t="shared" ref="D334" si="120">+D335+D336</f>
        <v>121762.21</v>
      </c>
      <c r="E334" s="368">
        <f t="shared" ref="E334" si="121">+E335+E336</f>
        <v>116472</v>
      </c>
      <c r="F334" s="63" t="s">
        <v>1835</v>
      </c>
      <c r="G334" s="207"/>
      <c r="H334" s="95"/>
    </row>
    <row r="335" spans="1:8" ht="18.75">
      <c r="A335" s="197"/>
      <c r="B335" s="98" t="s">
        <v>784</v>
      </c>
      <c r="C335" s="99" t="s">
        <v>1550</v>
      </c>
      <c r="D335" s="367">
        <f>+ROUND('Alim CE Costi'!E473,2)</f>
        <v>121762.21</v>
      </c>
      <c r="E335" s="367">
        <f>+ROUND('Alim CE Costi'!H473,2)</f>
        <v>116472</v>
      </c>
      <c r="F335" s="63"/>
      <c r="G335" s="207"/>
      <c r="H335" s="95"/>
    </row>
    <row r="336" spans="1:8" ht="18.75">
      <c r="A336" s="197"/>
      <c r="B336" s="98" t="s">
        <v>786</v>
      </c>
      <c r="C336" s="99" t="s">
        <v>1551</v>
      </c>
      <c r="D336" s="367">
        <f>+ROUND('Alim CE Costi'!E475,2)</f>
        <v>0</v>
      </c>
      <c r="E336" s="367">
        <f>+ROUND('Alim CE Costi'!H475,2)</f>
        <v>0</v>
      </c>
      <c r="F336" s="63"/>
      <c r="G336" s="207"/>
      <c r="H336" s="95"/>
    </row>
    <row r="337" spans="1:8" ht="18.75">
      <c r="A337" s="197"/>
      <c r="B337" s="98" t="s">
        <v>788</v>
      </c>
      <c r="C337" s="99" t="s">
        <v>1552</v>
      </c>
      <c r="D337" s="367">
        <f>+ROUND('Alim CE Costi'!E477,2)</f>
        <v>0</v>
      </c>
      <c r="E337" s="367">
        <f>+ROUND('Alim CE Costi'!H477,2)</f>
        <v>0</v>
      </c>
      <c r="F337" s="63"/>
      <c r="G337" s="207"/>
      <c r="H337" s="95"/>
    </row>
    <row r="338" spans="1:8" ht="18.75">
      <c r="A338" s="197"/>
      <c r="B338" s="98" t="s">
        <v>789</v>
      </c>
      <c r="C338" s="99" t="s">
        <v>1553</v>
      </c>
      <c r="D338" s="367">
        <f>+ROUND('Alim CE Costi'!E479+'Alim CE Costi'!E480+'Alim CE Costi'!E481,2)</f>
        <v>76323.039999999994</v>
      </c>
      <c r="E338" s="367">
        <f>+ROUND('Alim CE Costi'!H479+'Alim CE Costi'!H480+'Alim CE Costi'!H481,2)</f>
        <v>61488</v>
      </c>
      <c r="F338" s="63"/>
      <c r="G338" s="207"/>
      <c r="H338" s="95"/>
    </row>
    <row r="339" spans="1:8" ht="18.75">
      <c r="A339" s="197"/>
      <c r="B339" s="98" t="s">
        <v>794</v>
      </c>
      <c r="C339" s="99" t="s">
        <v>1554</v>
      </c>
      <c r="D339" s="367">
        <f>+ROUND('Alim CE Costi'!E483,2)</f>
        <v>2281.0700000000002</v>
      </c>
      <c r="E339" s="367">
        <f>+ROUND('Alim CE Costi'!H483,2)</f>
        <v>1716.55</v>
      </c>
      <c r="F339" s="63"/>
      <c r="G339" s="207"/>
      <c r="H339" s="95"/>
    </row>
    <row r="340" spans="1:8" ht="18.75">
      <c r="A340" s="197"/>
      <c r="B340" s="98" t="s">
        <v>796</v>
      </c>
      <c r="C340" s="99" t="s">
        <v>1555</v>
      </c>
      <c r="D340" s="367">
        <f>+ROUND('Alim CE Costi'!E485,2)</f>
        <v>112382.26</v>
      </c>
      <c r="E340" s="367">
        <f>+ROUND('Alim CE Costi'!H485,2)</f>
        <v>95873.19</v>
      </c>
      <c r="F340" s="63"/>
      <c r="G340" s="207"/>
      <c r="H340" s="95"/>
    </row>
    <row r="341" spans="1:8" ht="18.75">
      <c r="A341" s="197"/>
      <c r="B341" s="98" t="s">
        <v>797</v>
      </c>
      <c r="C341" s="99" t="s">
        <v>1556</v>
      </c>
      <c r="D341" s="367">
        <f>+ROUND('Alim CE Costi'!E487+'Alim CE Costi'!E488,2)</f>
        <v>113109.8</v>
      </c>
      <c r="E341" s="367">
        <f>+ROUND('Alim CE Costi'!H487+'Alim CE Costi'!H488,2)</f>
        <v>104271.58</v>
      </c>
      <c r="F341" s="63"/>
      <c r="G341" s="207"/>
      <c r="H341" s="95"/>
    </row>
    <row r="342" spans="1:8" ht="18.75">
      <c r="A342" s="197"/>
      <c r="B342" s="98" t="s">
        <v>801</v>
      </c>
      <c r="C342" s="99" t="s">
        <v>1557</v>
      </c>
      <c r="D342" s="367">
        <f>+ROUND('Alim CE Costi'!E490,2)</f>
        <v>18838.12</v>
      </c>
      <c r="E342" s="367">
        <f>+ROUND('Alim CE Costi'!H490,2)</f>
        <v>16881.68</v>
      </c>
      <c r="F342" s="63"/>
      <c r="G342" s="207"/>
      <c r="H342" s="95"/>
    </row>
    <row r="343" spans="1:8" ht="18.75">
      <c r="A343" s="197"/>
      <c r="B343" s="98" t="s">
        <v>803</v>
      </c>
      <c r="C343" s="99" t="s">
        <v>1558</v>
      </c>
      <c r="D343" s="367">
        <f>+ROUND('Alim CE Costi'!E492+'Alim CE Costi'!E493+'Alim CE Costi'!E494+'Alim CE Costi'!E495+'Alim CE Costi'!E496,2)</f>
        <v>272448.51</v>
      </c>
      <c r="E343" s="367">
        <f>+ROUND('Alim CE Costi'!H492+'Alim CE Costi'!H493+'Alim CE Costi'!H494+'Alim CE Costi'!H495+'Alim CE Costi'!H496,2)</f>
        <v>273379.52</v>
      </c>
      <c r="F343" s="63"/>
      <c r="G343" s="207"/>
      <c r="H343" s="95"/>
    </row>
    <row r="344" spans="1:8" ht="18.75">
      <c r="A344" s="197"/>
      <c r="B344" s="129" t="s">
        <v>808</v>
      </c>
      <c r="C344" s="130" t="s">
        <v>1559</v>
      </c>
      <c r="D344" s="368">
        <f t="shared" ref="D344" si="122">+D345+D346</f>
        <v>3955033.6799999997</v>
      </c>
      <c r="E344" s="368">
        <f t="shared" ref="E344" si="123">+E345+E346</f>
        <v>3929460.1599999997</v>
      </c>
      <c r="F344" s="63" t="s">
        <v>1835</v>
      </c>
      <c r="G344" s="207"/>
      <c r="H344" s="95"/>
    </row>
    <row r="345" spans="1:8" ht="18.75">
      <c r="A345" s="197"/>
      <c r="B345" s="100" t="s">
        <v>809</v>
      </c>
      <c r="C345" s="101" t="s">
        <v>1560</v>
      </c>
      <c r="D345" s="367">
        <f>+ROUND('Alim CE Costi'!E499,2)</f>
        <v>3920220.38</v>
      </c>
      <c r="E345" s="367">
        <f>+ROUND('Alim CE Costi'!H499,2)</f>
        <v>3894756.28</v>
      </c>
      <c r="F345" s="63"/>
      <c r="G345" s="207"/>
      <c r="H345" s="104"/>
    </row>
    <row r="346" spans="1:8" ht="25.5">
      <c r="A346" s="197"/>
      <c r="B346" s="100" t="s">
        <v>811</v>
      </c>
      <c r="C346" s="101" t="s">
        <v>1561</v>
      </c>
      <c r="D346" s="367">
        <f>+ROUND('Alim CE Costi'!E501,2)</f>
        <v>34813.300000000003</v>
      </c>
      <c r="E346" s="367">
        <f>+ROUND('Alim CE Costi'!H501,2)</f>
        <v>34703.879999999997</v>
      </c>
      <c r="F346" s="63"/>
      <c r="G346" s="207"/>
      <c r="H346" s="95"/>
    </row>
    <row r="347" spans="1:8" ht="18.75">
      <c r="A347" s="197"/>
      <c r="B347" s="129" t="s">
        <v>812</v>
      </c>
      <c r="C347" s="130" t="s">
        <v>1562</v>
      </c>
      <c r="D347" s="368">
        <f t="shared" ref="D347" si="124">+D348+D349+D350</f>
        <v>13662979.9</v>
      </c>
      <c r="E347" s="368">
        <f t="shared" ref="E347" si="125">+E348+E349+E350</f>
        <v>13217661.460000001</v>
      </c>
      <c r="F347" s="63" t="s">
        <v>1835</v>
      </c>
      <c r="G347" s="207"/>
      <c r="H347" s="95"/>
    </row>
    <row r="348" spans="1:8" ht="25.5">
      <c r="A348" s="197" t="s">
        <v>1248</v>
      </c>
      <c r="B348" s="100" t="s">
        <v>814</v>
      </c>
      <c r="C348" s="101" t="s">
        <v>1563</v>
      </c>
      <c r="D348" s="367">
        <f>+ROUND('Alim CE Costi'!E504,2)</f>
        <v>0</v>
      </c>
      <c r="E348" s="367">
        <f>+ROUND('Alim CE Costi'!H504,2)</f>
        <v>0</v>
      </c>
      <c r="F348" s="63"/>
      <c r="G348" s="207"/>
      <c r="H348" s="95"/>
    </row>
    <row r="349" spans="1:8" ht="25.5">
      <c r="A349" s="197"/>
      <c r="B349" s="100" t="s">
        <v>815</v>
      </c>
      <c r="C349" s="101" t="s">
        <v>1564</v>
      </c>
      <c r="D349" s="367">
        <f>+ROUND('Alim CE Costi'!E506+'Alim CE Costi'!E507,2)</f>
        <v>182114</v>
      </c>
      <c r="E349" s="367">
        <f>+ROUND('Alim CE Costi'!H506+'Alim CE Costi'!H507,2)</f>
        <v>147562</v>
      </c>
      <c r="F349" s="63"/>
      <c r="G349" s="207"/>
      <c r="H349" s="95"/>
    </row>
    <row r="350" spans="1:8" ht="18.75">
      <c r="A350" s="197"/>
      <c r="B350" s="100" t="s">
        <v>819</v>
      </c>
      <c r="C350" s="101" t="s">
        <v>1565</v>
      </c>
      <c r="D350" s="367">
        <f>+ROUND(SUM('Alim CE Costi'!E509:E523),2)</f>
        <v>13480865.9</v>
      </c>
      <c r="E350" s="367">
        <f>+ROUND(SUM('Alim CE Costi'!H509:H523),2)</f>
        <v>13070099.460000001</v>
      </c>
      <c r="F350" s="63"/>
      <c r="G350" s="207"/>
      <c r="H350" s="95"/>
    </row>
    <row r="351" spans="1:8" ht="25.5">
      <c r="A351" s="197"/>
      <c r="B351" s="134" t="s">
        <v>834</v>
      </c>
      <c r="C351" s="135" t="s">
        <v>1566</v>
      </c>
      <c r="D351" s="366">
        <f t="shared" ref="D351" si="126">+D352+D353+D354+D361</f>
        <v>254333.50999999998</v>
      </c>
      <c r="E351" s="366">
        <f t="shared" ref="E351" si="127">+E352+E353+E354+E361</f>
        <v>722476.53</v>
      </c>
      <c r="F351" s="63" t="s">
        <v>1835</v>
      </c>
      <c r="G351" s="207"/>
      <c r="H351" s="95"/>
    </row>
    <row r="352" spans="1:8" ht="25.5">
      <c r="A352" s="197" t="s">
        <v>1248</v>
      </c>
      <c r="B352" s="98" t="s">
        <v>836</v>
      </c>
      <c r="C352" s="99" t="s">
        <v>1567</v>
      </c>
      <c r="D352" s="367">
        <f>+ROUND('Alim CE Costi'!E526,2)</f>
        <v>16931.64</v>
      </c>
      <c r="E352" s="367">
        <f>+ROUND('Alim CE Costi'!H526,2)</f>
        <v>17058.68</v>
      </c>
      <c r="F352" s="63"/>
      <c r="G352" s="207"/>
      <c r="H352" s="95"/>
    </row>
    <row r="353" spans="1:8" ht="25.5">
      <c r="A353" s="197"/>
      <c r="B353" s="98" t="s">
        <v>838</v>
      </c>
      <c r="C353" s="99" t="s">
        <v>1568</v>
      </c>
      <c r="D353" s="367">
        <f>+ROUND('Alim CE Costi'!E528,2)</f>
        <v>0</v>
      </c>
      <c r="E353" s="367">
        <f>+ROUND('Alim CE Costi'!H528,2)</f>
        <v>0</v>
      </c>
      <c r="F353" s="63"/>
      <c r="G353" s="207"/>
      <c r="H353" s="95"/>
    </row>
    <row r="354" spans="1:8" ht="25.5">
      <c r="A354" s="197"/>
      <c r="B354" s="129" t="s">
        <v>839</v>
      </c>
      <c r="C354" s="130" t="s">
        <v>1569</v>
      </c>
      <c r="D354" s="368">
        <f t="shared" ref="D354" si="128">SUM(D355:D360)</f>
        <v>235117.72</v>
      </c>
      <c r="E354" s="368">
        <f t="shared" ref="E354" si="129">SUM(E355:E360)</f>
        <v>705417.85</v>
      </c>
      <c r="F354" s="63" t="s">
        <v>1835</v>
      </c>
      <c r="G354" s="207"/>
      <c r="H354" s="95"/>
    </row>
    <row r="355" spans="1:8" ht="18.75">
      <c r="A355" s="197"/>
      <c r="B355" s="100" t="s">
        <v>840</v>
      </c>
      <c r="C355" s="101" t="s">
        <v>1570</v>
      </c>
      <c r="D355" s="367">
        <f>+ROUND(SUM('Alim CE Costi'!E531:E535),2)</f>
        <v>7515.2</v>
      </c>
      <c r="E355" s="367">
        <f>+ROUND(SUM('Alim CE Costi'!H531:H535),2)</f>
        <v>7515.2</v>
      </c>
      <c r="F355" s="63"/>
      <c r="G355" s="207"/>
      <c r="H355" s="95"/>
    </row>
    <row r="356" spans="1:8" ht="25.5">
      <c r="A356" s="197"/>
      <c r="B356" s="100" t="s">
        <v>847</v>
      </c>
      <c r="C356" s="101" t="s">
        <v>1571</v>
      </c>
      <c r="D356" s="367">
        <f>+ROUND('Alim CE Costi'!E537,2)</f>
        <v>0</v>
      </c>
      <c r="E356" s="367">
        <f>+ROUND('Alim CE Costi'!H537,2)</f>
        <v>0</v>
      </c>
      <c r="F356" s="63"/>
      <c r="G356" s="207"/>
      <c r="H356" s="95"/>
    </row>
    <row r="357" spans="1:8" ht="25.5">
      <c r="A357" s="197"/>
      <c r="B357" s="100" t="s">
        <v>848</v>
      </c>
      <c r="C357" s="101" t="s">
        <v>1572</v>
      </c>
      <c r="D357" s="367">
        <f>+ROUND('Alim CE Costi'!E539,2)</f>
        <v>0</v>
      </c>
      <c r="E357" s="367">
        <f>+ROUND('Alim CE Costi'!H539,2)</f>
        <v>0</v>
      </c>
      <c r="F357" s="63"/>
      <c r="G357" s="207"/>
      <c r="H357" s="95"/>
    </row>
    <row r="358" spans="1:8" ht="18.75">
      <c r="A358" s="197"/>
      <c r="B358" s="100" t="s">
        <v>849</v>
      </c>
      <c r="C358" s="101" t="s">
        <v>1573</v>
      </c>
      <c r="D358" s="367">
        <f>+ROUND('Alim CE Costi'!E541,2)</f>
        <v>110231.83</v>
      </c>
      <c r="E358" s="367">
        <f>+ROUND('Alim CE Costi'!H541,2)</f>
        <v>574477.9</v>
      </c>
      <c r="F358" s="63"/>
      <c r="G358" s="207"/>
      <c r="H358" s="95"/>
    </row>
    <row r="359" spans="1:8" ht="25.5">
      <c r="A359" s="197"/>
      <c r="B359" s="100" t="s">
        <v>850</v>
      </c>
      <c r="C359" s="101" t="s">
        <v>1574</v>
      </c>
      <c r="D359" s="372">
        <f>+ROUND('Alim CE Costi'!E543+'Alim CE Costi'!E544+'Alim CE Costi'!E545+'Alim CE Costi'!E546+'Alim CE Costi'!E547,2)</f>
        <v>117370.69</v>
      </c>
      <c r="E359" s="372">
        <f>+ROUND('Alim CE Costi'!H543+'Alim CE Costi'!H544+'Alim CE Costi'!H545+'Alim CE Costi'!H546+'Alim CE Costi'!H547,2)</f>
        <v>123424.75</v>
      </c>
      <c r="F359" s="63"/>
      <c r="G359" s="207"/>
      <c r="H359" s="95"/>
    </row>
    <row r="360" spans="1:8" ht="51">
      <c r="A360" s="197"/>
      <c r="B360" s="100" t="s">
        <v>855</v>
      </c>
      <c r="C360" s="101" t="s">
        <v>1575</v>
      </c>
      <c r="D360" s="367">
        <f>+ROUND('Alim CE Costi'!E549,2)</f>
        <v>0</v>
      </c>
      <c r="E360" s="367">
        <f>+ROUND('Alim CE Costi'!H549,2)</f>
        <v>0</v>
      </c>
      <c r="F360" s="63"/>
      <c r="G360" s="207"/>
      <c r="H360" s="95"/>
    </row>
    <row r="361" spans="1:8" ht="25.5">
      <c r="A361" s="197"/>
      <c r="B361" s="129" t="s">
        <v>856</v>
      </c>
      <c r="C361" s="130" t="s">
        <v>1576</v>
      </c>
      <c r="D361" s="368">
        <f t="shared" ref="D361" si="130">SUM(D362:D364)</f>
        <v>2284.15</v>
      </c>
      <c r="E361" s="368">
        <f t="shared" ref="E361" si="131">SUM(E362:E364)</f>
        <v>0</v>
      </c>
      <c r="F361" s="63" t="s">
        <v>1835</v>
      </c>
      <c r="G361" s="207"/>
      <c r="H361" s="95"/>
    </row>
    <row r="362" spans="1:8" ht="38.25">
      <c r="A362" s="197" t="s">
        <v>1248</v>
      </c>
      <c r="B362" s="100" t="s">
        <v>858</v>
      </c>
      <c r="C362" s="101" t="s">
        <v>1577</v>
      </c>
      <c r="D362" s="367">
        <f>+ROUND('Alim CE Costi'!E552,2)</f>
        <v>2284.15</v>
      </c>
      <c r="E362" s="367">
        <f>+ROUND('Alim CE Costi'!H552,2)</f>
        <v>0</v>
      </c>
      <c r="F362" s="63"/>
      <c r="G362" s="207"/>
      <c r="H362" s="95"/>
    </row>
    <row r="363" spans="1:8" ht="38.25">
      <c r="A363" s="197"/>
      <c r="B363" s="100" t="s">
        <v>860</v>
      </c>
      <c r="C363" s="101" t="s">
        <v>1578</v>
      </c>
      <c r="D363" s="367">
        <f>+ROUND('Alim CE Costi'!E554,2)</f>
        <v>0</v>
      </c>
      <c r="E363" s="367">
        <f>+ROUND('Alim CE Costi'!H554,2)</f>
        <v>0</v>
      </c>
      <c r="F363" s="63"/>
      <c r="G363" s="207"/>
      <c r="H363" s="95"/>
    </row>
    <row r="364" spans="1:8" ht="38.25">
      <c r="A364" s="197" t="s">
        <v>1297</v>
      </c>
      <c r="B364" s="100" t="s">
        <v>862</v>
      </c>
      <c r="C364" s="101" t="s">
        <v>1579</v>
      </c>
      <c r="D364" s="367">
        <f>+ROUND('Alim CE Costi'!E556,2)</f>
        <v>0</v>
      </c>
      <c r="E364" s="367">
        <f>+ROUND('Alim CE Costi'!H556,2)</f>
        <v>0</v>
      </c>
      <c r="F364" s="63"/>
      <c r="G364" s="207"/>
      <c r="H364" s="95"/>
    </row>
    <row r="365" spans="1:8" ht="18.75">
      <c r="A365" s="197"/>
      <c r="B365" s="134" t="s">
        <v>863</v>
      </c>
      <c r="C365" s="135" t="s">
        <v>1580</v>
      </c>
      <c r="D365" s="366">
        <f t="shared" ref="D365" si="132">+D366+D367</f>
        <v>79905.25</v>
      </c>
      <c r="E365" s="366">
        <f t="shared" ref="E365" si="133">+E366+E367</f>
        <v>53949.09</v>
      </c>
      <c r="F365" s="63" t="s">
        <v>1835</v>
      </c>
      <c r="G365" s="207"/>
      <c r="H365" s="95"/>
    </row>
    <row r="366" spans="1:8" ht="18.75">
      <c r="A366" s="197"/>
      <c r="B366" s="98" t="s">
        <v>865</v>
      </c>
      <c r="C366" s="99" t="s">
        <v>1581</v>
      </c>
      <c r="D366" s="367">
        <f>+ROUND('Alim CE Costi'!E559,2)</f>
        <v>440</v>
      </c>
      <c r="E366" s="367">
        <f>+ROUND('Alim CE Costi'!H559,2)</f>
        <v>0</v>
      </c>
      <c r="F366" s="63"/>
      <c r="G366" s="207"/>
      <c r="H366" s="95"/>
    </row>
    <row r="367" spans="1:8" ht="18.75">
      <c r="A367" s="197"/>
      <c r="B367" s="98" t="s">
        <v>867</v>
      </c>
      <c r="C367" s="99" t="s">
        <v>1582</v>
      </c>
      <c r="D367" s="367">
        <f>+ROUND('Alim CE Costi'!E561,2)</f>
        <v>79465.25</v>
      </c>
      <c r="E367" s="367">
        <f>+ROUND('Alim CE Costi'!H561,2)</f>
        <v>53949.09</v>
      </c>
      <c r="F367" s="63"/>
      <c r="G367" s="207"/>
      <c r="H367" s="95"/>
    </row>
    <row r="368" spans="1:8" ht="25.5">
      <c r="A368" s="197"/>
      <c r="B368" s="121" t="s">
        <v>1583</v>
      </c>
      <c r="C368" s="122" t="s">
        <v>1584</v>
      </c>
      <c r="D368" s="364">
        <f t="shared" ref="D368" si="134">SUM(D369:D375)</f>
        <v>6603.43</v>
      </c>
      <c r="E368" s="364">
        <f t="shared" ref="E368" si="135">SUM(E369:E375)</f>
        <v>1064.03</v>
      </c>
      <c r="F368" s="63" t="s">
        <v>1835</v>
      </c>
      <c r="G368" s="207"/>
      <c r="H368" s="95"/>
    </row>
    <row r="369" spans="1:8" ht="25.5">
      <c r="A369" s="197"/>
      <c r="B369" s="96" t="s">
        <v>869</v>
      </c>
      <c r="C369" s="97" t="s">
        <v>1585</v>
      </c>
      <c r="D369" s="367">
        <f>+ROUND('Alim CE Costi'!E564,2)</f>
        <v>0</v>
      </c>
      <c r="E369" s="367">
        <f>+ROUND('Alim CE Costi'!H564,2)</f>
        <v>0</v>
      </c>
      <c r="F369" s="63"/>
      <c r="G369" s="207"/>
      <c r="H369" s="95"/>
    </row>
    <row r="370" spans="1:8" ht="25.5">
      <c r="A370" s="197"/>
      <c r="B370" s="96" t="s">
        <v>870</v>
      </c>
      <c r="C370" s="97" t="s">
        <v>1586</v>
      </c>
      <c r="D370" s="367">
        <f>+ROUND('Alim CE Costi'!E566+'Alim CE Costi'!E567+'Alim CE Costi'!E568,2)</f>
        <v>0</v>
      </c>
      <c r="E370" s="367">
        <f>+ROUND('Alim CE Costi'!H566+'Alim CE Costi'!H567+'Alim CE Costi'!H568,2)</f>
        <v>0</v>
      </c>
      <c r="F370" s="63"/>
      <c r="G370" s="207"/>
      <c r="H370" s="95"/>
    </row>
    <row r="371" spans="1:8" ht="25.5">
      <c r="A371" s="197"/>
      <c r="B371" s="96" t="s">
        <v>875</v>
      </c>
      <c r="C371" s="97" t="s">
        <v>1587</v>
      </c>
      <c r="D371" s="367">
        <f>+ROUND('Alim CE Costi'!E570,2)</f>
        <v>0</v>
      </c>
      <c r="E371" s="367">
        <f>+ROUND('Alim CE Costi'!H570,2)</f>
        <v>0</v>
      </c>
      <c r="F371" s="63"/>
      <c r="G371" s="207"/>
      <c r="H371" s="95"/>
    </row>
    <row r="372" spans="1:8" ht="18.75">
      <c r="A372" s="197"/>
      <c r="B372" s="96" t="s">
        <v>877</v>
      </c>
      <c r="C372" s="97" t="s">
        <v>1588</v>
      </c>
      <c r="D372" s="367">
        <f>+ROUND('Alim CE Costi'!E572,2)</f>
        <v>0</v>
      </c>
      <c r="E372" s="367">
        <f>+ROUND('Alim CE Costi'!H572,2)</f>
        <v>0</v>
      </c>
      <c r="F372" s="63"/>
      <c r="G372" s="207"/>
      <c r="H372" s="95"/>
    </row>
    <row r="373" spans="1:8" ht="18.75">
      <c r="A373" s="197"/>
      <c r="B373" s="96" t="s">
        <v>879</v>
      </c>
      <c r="C373" s="97" t="s">
        <v>1589</v>
      </c>
      <c r="D373" s="367">
        <f>+ROUND('Alim CE Costi'!E574,2)</f>
        <v>6603.42</v>
      </c>
      <c r="E373" s="367">
        <f>+ROUND('Alim CE Costi'!H574,2)</f>
        <v>1064.03</v>
      </c>
      <c r="F373" s="63"/>
      <c r="G373" s="207"/>
      <c r="H373" s="95"/>
    </row>
    <row r="374" spans="1:8" ht="18.75">
      <c r="A374" s="197"/>
      <c r="B374" s="96" t="s">
        <v>881</v>
      </c>
      <c r="C374" s="97" t="s">
        <v>1590</v>
      </c>
      <c r="D374" s="367">
        <f>+ROUND('Alim CE Costi'!E576+'Alim CE Costi'!E577+'Alim CE Costi'!E578,2)</f>
        <v>0.01</v>
      </c>
      <c r="E374" s="367">
        <f>+ROUND('Alim CE Costi'!H576+'Alim CE Costi'!H577+'Alim CE Costi'!H578,2)</f>
        <v>0</v>
      </c>
      <c r="F374" s="63"/>
      <c r="G374" s="207"/>
      <c r="H374" s="95"/>
    </row>
    <row r="375" spans="1:8" ht="25.5">
      <c r="A375" s="202" t="s">
        <v>1248</v>
      </c>
      <c r="B375" s="96" t="s">
        <v>885</v>
      </c>
      <c r="C375" s="97" t="s">
        <v>1591</v>
      </c>
      <c r="D375" s="367">
        <f>+ROUND('Alim CE Costi'!E580,2)</f>
        <v>0</v>
      </c>
      <c r="E375" s="367">
        <f>+ROUND('Alim CE Costi'!H580,2)</f>
        <v>0</v>
      </c>
      <c r="F375" s="63"/>
      <c r="G375" s="207"/>
      <c r="H375" s="95"/>
    </row>
    <row r="376" spans="1:8" ht="18.75">
      <c r="A376" s="197"/>
      <c r="B376" s="121" t="s">
        <v>886</v>
      </c>
      <c r="C376" s="122" t="s">
        <v>1592</v>
      </c>
      <c r="D376" s="364">
        <f t="shared" ref="D376" si="136">+D377+D378+D381+D384+D385</f>
        <v>2931092.54</v>
      </c>
      <c r="E376" s="364">
        <f t="shared" ref="E376" si="137">+E377+E378+E381+E384+E385</f>
        <v>3100078.79</v>
      </c>
      <c r="F376" s="63" t="s">
        <v>1835</v>
      </c>
      <c r="G376" s="207"/>
      <c r="H376" s="95"/>
    </row>
    <row r="377" spans="1:8" ht="18.75">
      <c r="A377" s="197"/>
      <c r="B377" s="96" t="s">
        <v>887</v>
      </c>
      <c r="C377" s="97" t="s">
        <v>1593</v>
      </c>
      <c r="D377" s="367">
        <f>+ROUND('Alim CE Costi'!E583+'Alim CE Costi'!E584,2)</f>
        <v>647793.34</v>
      </c>
      <c r="E377" s="367">
        <f>+ROUND('Alim CE Costi'!H583+'Alim CE Costi'!H584,2)</f>
        <v>688014.9</v>
      </c>
      <c r="F377" s="63"/>
      <c r="G377" s="207"/>
      <c r="H377" s="95"/>
    </row>
    <row r="378" spans="1:8" ht="18.75">
      <c r="A378" s="197"/>
      <c r="B378" s="116" t="s">
        <v>890</v>
      </c>
      <c r="C378" s="117" t="s">
        <v>1594</v>
      </c>
      <c r="D378" s="365">
        <f t="shared" ref="D378" si="138">+D379+D380</f>
        <v>2283299.2000000002</v>
      </c>
      <c r="E378" s="365">
        <f t="shared" ref="E378" si="139">+E379+E380</f>
        <v>2412063.89</v>
      </c>
      <c r="F378" s="63" t="s">
        <v>1835</v>
      </c>
      <c r="G378" s="207"/>
      <c r="H378" s="95"/>
    </row>
    <row r="379" spans="1:8" ht="18.75">
      <c r="A379" s="197"/>
      <c r="B379" s="98" t="s">
        <v>892</v>
      </c>
      <c r="C379" s="99" t="s">
        <v>1595</v>
      </c>
      <c r="D379" s="367">
        <f>+ROUND('Alim CE Costi'!E587,2)</f>
        <v>2204865.7400000002</v>
      </c>
      <c r="E379" s="367">
        <f>+ROUND('Alim CE Costi'!H587,2)</f>
        <v>2357042.52</v>
      </c>
      <c r="F379" s="63"/>
      <c r="G379" s="207"/>
      <c r="H379" s="95"/>
    </row>
    <row r="380" spans="1:8" ht="18.75">
      <c r="A380" s="197"/>
      <c r="B380" s="98" t="s">
        <v>893</v>
      </c>
      <c r="C380" s="99" t="s">
        <v>1596</v>
      </c>
      <c r="D380" s="367">
        <f>+ROUND('Alim CE Costi'!E589+'Alim CE Costi'!E590+'Alim CE Costi'!E591+'Alim CE Costi'!E592,2)</f>
        <v>78433.460000000006</v>
      </c>
      <c r="E380" s="367">
        <f>+ROUND('Alim CE Costi'!H589+'Alim CE Costi'!H590+'Alim CE Costi'!H591+'Alim CE Costi'!H592,2)</f>
        <v>55021.37</v>
      </c>
      <c r="F380" s="63"/>
      <c r="G380" s="207"/>
      <c r="H380" s="95"/>
    </row>
    <row r="381" spans="1:8" ht="18.75">
      <c r="A381" s="197"/>
      <c r="B381" s="116" t="s">
        <v>898</v>
      </c>
      <c r="C381" s="117" t="s">
        <v>1597</v>
      </c>
      <c r="D381" s="365">
        <f t="shared" ref="D381" si="140">+D382+D383</f>
        <v>0</v>
      </c>
      <c r="E381" s="365">
        <f t="shared" ref="E381" si="141">+E382+E383</f>
        <v>0</v>
      </c>
      <c r="F381" s="63" t="s">
        <v>1835</v>
      </c>
      <c r="G381" s="207"/>
      <c r="H381" s="95"/>
    </row>
    <row r="382" spans="1:8" ht="18.75">
      <c r="A382" s="197"/>
      <c r="B382" s="98" t="s">
        <v>899</v>
      </c>
      <c r="C382" s="99" t="s">
        <v>1598</v>
      </c>
      <c r="D382" s="367">
        <f>+ROUND('Alim CE Costi'!E595+'Alim CE Costi'!E596,2)</f>
        <v>0</v>
      </c>
      <c r="E382" s="367">
        <f>+ROUND('Alim CE Costi'!H595+'Alim CE Costi'!H596,2)</f>
        <v>0</v>
      </c>
      <c r="F382" s="63"/>
      <c r="G382" s="207"/>
      <c r="H382" s="95"/>
    </row>
    <row r="383" spans="1:8" ht="18.75">
      <c r="A383" s="197"/>
      <c r="B383" s="98" t="s">
        <v>900</v>
      </c>
      <c r="C383" s="99" t="s">
        <v>1599</v>
      </c>
      <c r="D383" s="367">
        <f>+ROUND('Alim CE Costi'!E598+'Alim CE Costi'!E599,2)</f>
        <v>0</v>
      </c>
      <c r="E383" s="367">
        <f>+ROUND('Alim CE Costi'!H598+'Alim CE Costi'!H599,2)</f>
        <v>0</v>
      </c>
      <c r="F383" s="63"/>
      <c r="G383" s="207"/>
      <c r="H383" s="95"/>
    </row>
    <row r="384" spans="1:8" ht="18.75">
      <c r="A384" s="199"/>
      <c r="B384" s="96" t="s">
        <v>902</v>
      </c>
      <c r="C384" s="97" t="s">
        <v>1600</v>
      </c>
      <c r="D384" s="367">
        <f>+ROUND('Alim CE Costi'!E601,2)</f>
        <v>0</v>
      </c>
      <c r="E384" s="367">
        <f>+ROUND('Alim CE Costi'!H601,2)</f>
        <v>0</v>
      </c>
      <c r="F384" s="310"/>
      <c r="G384" s="207"/>
      <c r="H384" s="95"/>
    </row>
    <row r="385" spans="1:8" ht="25.5">
      <c r="A385" s="203" t="s">
        <v>1248</v>
      </c>
      <c r="B385" s="96" t="s">
        <v>904</v>
      </c>
      <c r="C385" s="97" t="s">
        <v>1601</v>
      </c>
      <c r="D385" s="367">
        <f>+ROUND('Alim CE Costi'!E603,2)</f>
        <v>0</v>
      </c>
      <c r="E385" s="367">
        <f>+ROUND('Alim CE Costi'!H603,2)</f>
        <v>0</v>
      </c>
      <c r="F385" s="310"/>
      <c r="G385" s="207"/>
      <c r="H385" s="95"/>
    </row>
    <row r="386" spans="1:8" ht="18.75">
      <c r="A386" s="197"/>
      <c r="B386" s="136" t="s">
        <v>1602</v>
      </c>
      <c r="C386" s="137" t="s">
        <v>1603</v>
      </c>
      <c r="D386" s="373">
        <f t="shared" ref="D386" si="142">+D387+D401+D410+D419</f>
        <v>12193029.760000002</v>
      </c>
      <c r="E386" s="373">
        <f t="shared" ref="E386" si="143">+E387+E401+E410+E419</f>
        <v>10525335.449999999</v>
      </c>
      <c r="F386" s="63" t="s">
        <v>1835</v>
      </c>
      <c r="G386" s="207"/>
      <c r="H386" s="95"/>
    </row>
    <row r="387" spans="1:8" ht="18.75">
      <c r="A387" s="197"/>
      <c r="B387" s="121" t="s">
        <v>905</v>
      </c>
      <c r="C387" s="122" t="s">
        <v>1604</v>
      </c>
      <c r="D387" s="364">
        <f t="shared" ref="D387" si="144">+D388+D397</f>
        <v>4050931.62</v>
      </c>
      <c r="E387" s="364">
        <f t="shared" ref="E387" si="145">+E388+E397</f>
        <v>3296485.6199999996</v>
      </c>
      <c r="F387" s="63" t="s">
        <v>1835</v>
      </c>
      <c r="G387" s="207"/>
      <c r="H387" s="95"/>
    </row>
    <row r="388" spans="1:8" ht="18.75">
      <c r="A388" s="197"/>
      <c r="B388" s="116" t="s">
        <v>906</v>
      </c>
      <c r="C388" s="117" t="s">
        <v>1605</v>
      </c>
      <c r="D388" s="365">
        <f t="shared" ref="D388" si="146">+D389+D393</f>
        <v>1553582.6300000001</v>
      </c>
      <c r="E388" s="365">
        <f t="shared" ref="E388" si="147">+E389+E393</f>
        <v>1084609.29</v>
      </c>
      <c r="F388" s="63" t="s">
        <v>1835</v>
      </c>
      <c r="G388" s="207"/>
      <c r="H388" s="95"/>
    </row>
    <row r="389" spans="1:8" ht="18.75">
      <c r="A389" s="197"/>
      <c r="B389" s="125" t="s">
        <v>907</v>
      </c>
      <c r="C389" s="126" t="s">
        <v>1606</v>
      </c>
      <c r="D389" s="366">
        <f t="shared" ref="D389" si="148">SUM(D390:D392)</f>
        <v>697347.82000000007</v>
      </c>
      <c r="E389" s="366">
        <f t="shared" ref="E389" si="149">SUM(E390:E392)</f>
        <v>264175.46000000002</v>
      </c>
      <c r="F389" s="63" t="s">
        <v>1835</v>
      </c>
      <c r="G389" s="207"/>
      <c r="H389" s="95"/>
    </row>
    <row r="390" spans="1:8" ht="25.5">
      <c r="A390" s="197"/>
      <c r="B390" s="98" t="s">
        <v>908</v>
      </c>
      <c r="C390" s="99" t="s">
        <v>1607</v>
      </c>
      <c r="D390" s="367">
        <f>+ROUND(SUM('Alim CE Costi'!E609:E616),2)</f>
        <v>666560.79</v>
      </c>
      <c r="E390" s="367">
        <f>+ROUND(SUM('Alim CE Costi'!H609:H616),2)</f>
        <v>264175.46000000002</v>
      </c>
      <c r="F390" s="63"/>
      <c r="G390" s="207"/>
      <c r="H390" s="95"/>
    </row>
    <row r="391" spans="1:8" ht="25.5">
      <c r="A391" s="197"/>
      <c r="B391" s="98" t="s">
        <v>909</v>
      </c>
      <c r="C391" s="99" t="s">
        <v>1608</v>
      </c>
      <c r="D391" s="367">
        <f>+ROUND(SUM('Alim CE Costi'!E618:E625),2)</f>
        <v>30787.03</v>
      </c>
      <c r="E391" s="367">
        <f>+ROUND(SUM('Alim CE Costi'!H618:H625),2)</f>
        <v>0</v>
      </c>
      <c r="F391" s="63"/>
      <c r="G391" s="207"/>
      <c r="H391" s="95"/>
    </row>
    <row r="392" spans="1:8" ht="18.75">
      <c r="A392" s="197"/>
      <c r="B392" s="98" t="s">
        <v>911</v>
      </c>
      <c r="C392" s="99" t="s">
        <v>1609</v>
      </c>
      <c r="D392" s="367">
        <f>+ROUND('Alim CE Costi'!E627,2)</f>
        <v>0</v>
      </c>
      <c r="E392" s="367">
        <f>+ROUND('Alim CE Costi'!H627,2)</f>
        <v>0</v>
      </c>
      <c r="F392" s="63"/>
      <c r="G392" s="207"/>
      <c r="H392" s="95"/>
    </row>
    <row r="393" spans="1:8" ht="18.75">
      <c r="A393" s="197"/>
      <c r="B393" s="125" t="s">
        <v>912</v>
      </c>
      <c r="C393" s="126" t="s">
        <v>1610</v>
      </c>
      <c r="D393" s="366">
        <f t="shared" ref="D393" si="150">SUM(D394:D396)</f>
        <v>856234.81</v>
      </c>
      <c r="E393" s="366">
        <f t="shared" ref="E393" si="151">SUM(E394:E396)</f>
        <v>820433.83000000007</v>
      </c>
      <c r="F393" s="63" t="s">
        <v>1835</v>
      </c>
      <c r="G393" s="207"/>
      <c r="H393" s="95"/>
    </row>
    <row r="394" spans="1:8" ht="25.5">
      <c r="A394" s="197"/>
      <c r="B394" s="98" t="s">
        <v>913</v>
      </c>
      <c r="C394" s="99" t="s">
        <v>1611</v>
      </c>
      <c r="D394" s="367">
        <f>+ROUND(SUM('Alim CE Costi'!E630:E637),2)</f>
        <v>784598.05</v>
      </c>
      <c r="E394" s="367">
        <f>+ROUND(SUM('Alim CE Costi'!H630:H637),2)</f>
        <v>719028.31</v>
      </c>
      <c r="F394" s="63"/>
      <c r="G394" s="207"/>
      <c r="H394" s="95"/>
    </row>
    <row r="395" spans="1:8" ht="25.5">
      <c r="A395" s="197"/>
      <c r="B395" s="98" t="s">
        <v>914</v>
      </c>
      <c r="C395" s="99" t="s">
        <v>1612</v>
      </c>
      <c r="D395" s="367">
        <f>+ROUND(SUM('Alim CE Costi'!E639:E646),2)</f>
        <v>71636.759999999995</v>
      </c>
      <c r="E395" s="367">
        <f>+ROUND(SUM('Alim CE Costi'!H639:H646),2)</f>
        <v>101405.52</v>
      </c>
      <c r="F395" s="63"/>
      <c r="G395" s="207"/>
      <c r="H395" s="95"/>
    </row>
    <row r="396" spans="1:8" ht="18.75">
      <c r="A396" s="197"/>
      <c r="B396" s="98" t="s">
        <v>915</v>
      </c>
      <c r="C396" s="99" t="s">
        <v>1613</v>
      </c>
      <c r="D396" s="367">
        <f>+ROUND('Alim CE Costi'!E648,2)</f>
        <v>0</v>
      </c>
      <c r="E396" s="367">
        <f>+ROUND('Alim CE Costi'!H648,2)</f>
        <v>0</v>
      </c>
      <c r="F396" s="63"/>
      <c r="G396" s="207"/>
      <c r="H396" s="95"/>
    </row>
    <row r="397" spans="1:8" ht="18.75">
      <c r="A397" s="197"/>
      <c r="B397" s="134" t="s">
        <v>916</v>
      </c>
      <c r="C397" s="135" t="s">
        <v>1614</v>
      </c>
      <c r="D397" s="366">
        <f t="shared" ref="D397" si="152">SUM(D398:D400)</f>
        <v>2497348.9900000002</v>
      </c>
      <c r="E397" s="366">
        <f t="shared" ref="E397" si="153">SUM(E398:E400)</f>
        <v>2211876.3299999996</v>
      </c>
      <c r="F397" s="63" t="s">
        <v>1835</v>
      </c>
      <c r="G397" s="207"/>
      <c r="H397" s="95"/>
    </row>
    <row r="398" spans="1:8" ht="25.5">
      <c r="A398" s="197"/>
      <c r="B398" s="98" t="s">
        <v>917</v>
      </c>
      <c r="C398" s="99" t="s">
        <v>1615</v>
      </c>
      <c r="D398" s="367">
        <f>+ROUND(SUM('Alim CE Costi'!E652:E692),2)</f>
        <v>2476114.4500000002</v>
      </c>
      <c r="E398" s="367">
        <f>+ROUND(SUM('Alim CE Costi'!H652:H692),2)</f>
        <v>2193845.0499999998</v>
      </c>
      <c r="F398" s="63"/>
      <c r="G398" s="207"/>
      <c r="H398" s="95"/>
    </row>
    <row r="399" spans="1:8" ht="25.5">
      <c r="A399" s="197"/>
      <c r="B399" s="98" t="s">
        <v>918</v>
      </c>
      <c r="C399" s="99" t="s">
        <v>1616</v>
      </c>
      <c r="D399" s="367">
        <f>+ROUND(SUM('Alim CE Costi'!E694:E735),2)</f>
        <v>21234.54</v>
      </c>
      <c r="E399" s="367">
        <f>+ROUND(SUM('Alim CE Costi'!H694:H735),2)</f>
        <v>18031.28</v>
      </c>
      <c r="F399" s="63"/>
      <c r="G399" s="207"/>
      <c r="H399" s="95"/>
    </row>
    <row r="400" spans="1:8" ht="18.75">
      <c r="A400" s="197"/>
      <c r="B400" s="98" t="s">
        <v>920</v>
      </c>
      <c r="C400" s="99" t="s">
        <v>1617</v>
      </c>
      <c r="D400" s="367">
        <f>+ROUND('Alim CE Costi'!E737,2)</f>
        <v>0</v>
      </c>
      <c r="E400" s="367">
        <f>+ROUND('Alim CE Costi'!H737,2)</f>
        <v>0</v>
      </c>
      <c r="F400" s="63"/>
      <c r="G400" s="207"/>
      <c r="H400" s="95"/>
    </row>
    <row r="401" spans="1:8" ht="18.75">
      <c r="A401" s="197"/>
      <c r="B401" s="121" t="s">
        <v>921</v>
      </c>
      <c r="C401" s="122" t="s">
        <v>1618</v>
      </c>
      <c r="D401" s="364">
        <f t="shared" ref="D401" si="154">+D402+D406</f>
        <v>667369.45000000007</v>
      </c>
      <c r="E401" s="364">
        <f t="shared" ref="E401" si="155">+E402+E406</f>
        <v>543806.37</v>
      </c>
      <c r="F401" s="63" t="s">
        <v>1835</v>
      </c>
      <c r="G401" s="207"/>
      <c r="H401" s="95"/>
    </row>
    <row r="402" spans="1:8" ht="25.5">
      <c r="A402" s="197"/>
      <c r="B402" s="116" t="s">
        <v>922</v>
      </c>
      <c r="C402" s="117" t="s">
        <v>1619</v>
      </c>
      <c r="D402" s="365">
        <f t="shared" ref="D402" si="156">SUM(D403:D405)</f>
        <v>648626.27</v>
      </c>
      <c r="E402" s="365">
        <f t="shared" ref="E402" si="157">SUM(E403:E405)</f>
        <v>543806.37</v>
      </c>
      <c r="F402" s="63" t="s">
        <v>1835</v>
      </c>
      <c r="G402" s="207"/>
      <c r="H402" s="95"/>
    </row>
    <row r="403" spans="1:8" ht="25.5">
      <c r="A403" s="197"/>
      <c r="B403" s="98" t="s">
        <v>923</v>
      </c>
      <c r="C403" s="99" t="s">
        <v>1620</v>
      </c>
      <c r="D403" s="367">
        <f>+ROUND(SUM('Alim CE Costi'!E741:E748),2)</f>
        <v>616526.05000000005</v>
      </c>
      <c r="E403" s="367">
        <f>+ROUND(SUM('Alim CE Costi'!H741:H748),2)</f>
        <v>543806.37</v>
      </c>
      <c r="F403" s="63"/>
      <c r="G403" s="207"/>
      <c r="H403" s="95"/>
    </row>
    <row r="404" spans="1:8" ht="25.5">
      <c r="A404" s="197"/>
      <c r="B404" s="98" t="s">
        <v>924</v>
      </c>
      <c r="C404" s="99" t="s">
        <v>1621</v>
      </c>
      <c r="D404" s="367">
        <f>+ROUND(SUM('Alim CE Costi'!E750:E757),2)</f>
        <v>32100.22</v>
      </c>
      <c r="E404" s="367">
        <f>+ROUND(SUM('Alim CE Costi'!H750:H757),2)</f>
        <v>0</v>
      </c>
      <c r="F404" s="63"/>
      <c r="G404" s="207"/>
      <c r="H404" s="95"/>
    </row>
    <row r="405" spans="1:8" ht="25.5">
      <c r="A405" s="197"/>
      <c r="B405" s="98" t="s">
        <v>926</v>
      </c>
      <c r="C405" s="99" t="s">
        <v>1622</v>
      </c>
      <c r="D405" s="367">
        <f>+ROUND('Alim CE Costi'!E759,2)</f>
        <v>0</v>
      </c>
      <c r="E405" s="367">
        <f>+ROUND('Alim CE Costi'!H759,2)</f>
        <v>0</v>
      </c>
      <c r="F405" s="63"/>
      <c r="G405" s="207"/>
      <c r="H405" s="95"/>
    </row>
    <row r="406" spans="1:8" ht="25.5">
      <c r="A406" s="197"/>
      <c r="B406" s="116" t="s">
        <v>927</v>
      </c>
      <c r="C406" s="117" t="s">
        <v>1623</v>
      </c>
      <c r="D406" s="365">
        <f t="shared" ref="D406" si="158">SUM(D407:D409)</f>
        <v>18743.18</v>
      </c>
      <c r="E406" s="365">
        <f t="shared" ref="E406" si="159">SUM(E407:E409)</f>
        <v>0</v>
      </c>
      <c r="F406" s="63" t="s">
        <v>1835</v>
      </c>
      <c r="G406" s="207"/>
      <c r="H406" s="95"/>
    </row>
    <row r="407" spans="1:8" ht="25.5">
      <c r="A407" s="197"/>
      <c r="B407" s="98" t="s">
        <v>928</v>
      </c>
      <c r="C407" s="99" t="s">
        <v>1624</v>
      </c>
      <c r="D407" s="367">
        <f>+ROUND(SUM('Alim CE Costi'!E762:E774),2)</f>
        <v>0</v>
      </c>
      <c r="E407" s="367">
        <f>+ROUND(SUM('Alim CE Costi'!H762:H774),2)</f>
        <v>0</v>
      </c>
      <c r="F407" s="63"/>
      <c r="G407" s="207"/>
      <c r="H407" s="95"/>
    </row>
    <row r="408" spans="1:8" ht="25.5">
      <c r="A408" s="197"/>
      <c r="B408" s="98" t="s">
        <v>929</v>
      </c>
      <c r="C408" s="99" t="s">
        <v>1625</v>
      </c>
      <c r="D408" s="367">
        <f>+ROUND(SUM('Alim CE Costi'!E776:E788),2)</f>
        <v>18743.18</v>
      </c>
      <c r="E408" s="367">
        <f>+ROUND(SUM('Alim CE Costi'!H776:H788),2)</f>
        <v>0</v>
      </c>
      <c r="F408" s="63"/>
      <c r="G408" s="207"/>
      <c r="H408" s="95"/>
    </row>
    <row r="409" spans="1:8" ht="25.5">
      <c r="A409" s="197"/>
      <c r="B409" s="98" t="s">
        <v>931</v>
      </c>
      <c r="C409" s="99" t="s">
        <v>1626</v>
      </c>
      <c r="D409" s="367">
        <f>+ROUND('Alim CE Costi'!E790,2)</f>
        <v>0</v>
      </c>
      <c r="E409" s="367">
        <f>+ROUND('Alim CE Costi'!H790,2)</f>
        <v>0</v>
      </c>
      <c r="F409" s="63"/>
      <c r="G409" s="207"/>
      <c r="H409" s="95"/>
    </row>
    <row r="410" spans="1:8" ht="18.75">
      <c r="A410" s="197"/>
      <c r="B410" s="121" t="s">
        <v>932</v>
      </c>
      <c r="C410" s="122" t="s">
        <v>1627</v>
      </c>
      <c r="D410" s="364">
        <f t="shared" ref="D410" si="160">+D411+D415</f>
        <v>779018.36</v>
      </c>
      <c r="E410" s="364">
        <f t="shared" ref="E410" si="161">+E411+E415</f>
        <v>742622.14999999991</v>
      </c>
      <c r="F410" s="63" t="s">
        <v>1835</v>
      </c>
      <c r="G410" s="207"/>
      <c r="H410" s="95"/>
    </row>
    <row r="411" spans="1:8" ht="18.75">
      <c r="A411" s="197"/>
      <c r="B411" s="116" t="s">
        <v>933</v>
      </c>
      <c r="C411" s="117" t="s">
        <v>1628</v>
      </c>
      <c r="D411" s="365">
        <f t="shared" ref="D411" si="162">SUM(D412:D414)</f>
        <v>320674.75</v>
      </c>
      <c r="E411" s="365">
        <f t="shared" ref="E411" si="163">SUM(E412:E414)</f>
        <v>296055.65999999997</v>
      </c>
      <c r="F411" s="63" t="s">
        <v>1835</v>
      </c>
      <c r="G411" s="207"/>
      <c r="H411" s="95"/>
    </row>
    <row r="412" spans="1:8" ht="25.5">
      <c r="A412" s="197"/>
      <c r="B412" s="98" t="s">
        <v>934</v>
      </c>
      <c r="C412" s="99" t="s">
        <v>1629</v>
      </c>
      <c r="D412" s="367">
        <f>+ROUND(SUM('Alim CE Costi'!E795:E811),2)</f>
        <v>320674.75</v>
      </c>
      <c r="E412" s="367">
        <f>+ROUND(SUM('Alim CE Costi'!H795:H811),2)</f>
        <v>296055.65999999997</v>
      </c>
      <c r="F412" s="63"/>
      <c r="G412" s="207"/>
      <c r="H412" s="95"/>
    </row>
    <row r="413" spans="1:8" ht="25.5">
      <c r="A413" s="197"/>
      <c r="B413" s="98" t="s">
        <v>935</v>
      </c>
      <c r="C413" s="99" t="s">
        <v>1630</v>
      </c>
      <c r="D413" s="367">
        <f>+ROUND(SUM('Alim CE Costi'!E814:E830),2)</f>
        <v>0</v>
      </c>
      <c r="E413" s="367">
        <f>+ROUND(SUM('Alim CE Costi'!H814:H830),2)</f>
        <v>0</v>
      </c>
      <c r="F413" s="63"/>
      <c r="G413" s="207"/>
      <c r="H413" s="95"/>
    </row>
    <row r="414" spans="1:8" ht="18.75">
      <c r="A414" s="197"/>
      <c r="B414" s="98" t="s">
        <v>937</v>
      </c>
      <c r="C414" s="99" t="s">
        <v>1631</v>
      </c>
      <c r="D414" s="367">
        <f>+ROUND(SUM('Alim CE Costi'!E832:E833),2)</f>
        <v>0</v>
      </c>
      <c r="E414" s="367">
        <f>+ROUND(SUM('Alim CE Costi'!H832:H833),2)</f>
        <v>0</v>
      </c>
      <c r="F414" s="63"/>
      <c r="G414" s="207"/>
      <c r="H414" s="95"/>
    </row>
    <row r="415" spans="1:8" ht="18.75">
      <c r="A415" s="197"/>
      <c r="B415" s="116" t="s">
        <v>938</v>
      </c>
      <c r="C415" s="117" t="s">
        <v>1632</v>
      </c>
      <c r="D415" s="365">
        <f t="shared" ref="D415" si="164">SUM(D416:D418)</f>
        <v>458343.61</v>
      </c>
      <c r="E415" s="365">
        <f t="shared" ref="E415" si="165">SUM(E416:E418)</f>
        <v>446566.49</v>
      </c>
      <c r="F415" s="63" t="s">
        <v>1835</v>
      </c>
      <c r="G415" s="207"/>
      <c r="H415" s="95"/>
    </row>
    <row r="416" spans="1:8" ht="25.5">
      <c r="A416" s="197"/>
      <c r="B416" s="98" t="s">
        <v>939</v>
      </c>
      <c r="C416" s="99" t="s">
        <v>1633</v>
      </c>
      <c r="D416" s="367">
        <f>+ROUND(SUM('Alim CE Costi'!E836:E863),2)</f>
        <v>458343.61</v>
      </c>
      <c r="E416" s="367">
        <f>+ROUND(SUM('Alim CE Costi'!H836:H863),2)</f>
        <v>446566.49</v>
      </c>
      <c r="F416" s="63"/>
      <c r="G416" s="207"/>
      <c r="H416" s="95"/>
    </row>
    <row r="417" spans="1:8" ht="25.5">
      <c r="A417" s="197"/>
      <c r="B417" s="98" t="s">
        <v>940</v>
      </c>
      <c r="C417" s="99" t="s">
        <v>1634</v>
      </c>
      <c r="D417" s="367">
        <f>+ROUND(SUM('Alim CE Costi'!E866:E892),2)</f>
        <v>0</v>
      </c>
      <c r="E417" s="367">
        <f>+ROUND(SUM('Alim CE Costi'!H866:H892),2)</f>
        <v>0</v>
      </c>
      <c r="F417" s="63"/>
      <c r="G417" s="207"/>
      <c r="H417" s="95"/>
    </row>
    <row r="418" spans="1:8" ht="18.75">
      <c r="A418" s="197"/>
      <c r="B418" s="98" t="s">
        <v>942</v>
      </c>
      <c r="C418" s="99" t="s">
        <v>1635</v>
      </c>
      <c r="D418" s="367">
        <f>+ROUND(SUM('Alim CE Costi'!E894:E895),2)</f>
        <v>0</v>
      </c>
      <c r="E418" s="367">
        <f>+ROUND(SUM('Alim CE Costi'!H894:H895),2)</f>
        <v>0</v>
      </c>
      <c r="F418" s="63"/>
      <c r="G418" s="207"/>
      <c r="H418" s="95"/>
    </row>
    <row r="419" spans="1:8" ht="18.75">
      <c r="A419" s="197"/>
      <c r="B419" s="121" t="s">
        <v>943</v>
      </c>
      <c r="C419" s="122" t="s">
        <v>1636</v>
      </c>
      <c r="D419" s="364">
        <f t="shared" ref="D419" si="166">+D420+D424</f>
        <v>6695710.3300000001</v>
      </c>
      <c r="E419" s="364">
        <f t="shared" ref="E419" si="167">+E420+E424</f>
        <v>5942421.3100000005</v>
      </c>
      <c r="F419" s="63" t="s">
        <v>1835</v>
      </c>
      <c r="G419" s="207"/>
      <c r="H419" s="95"/>
    </row>
    <row r="420" spans="1:8" ht="25.5">
      <c r="A420" s="197"/>
      <c r="B420" s="116" t="s">
        <v>944</v>
      </c>
      <c r="C420" s="117" t="s">
        <v>1637</v>
      </c>
      <c r="D420" s="365">
        <f t="shared" ref="D420" si="168">SUM(D421:D423)</f>
        <v>1808076.74</v>
      </c>
      <c r="E420" s="365">
        <f t="shared" ref="E420" si="169">SUM(E421:E423)</f>
        <v>1692578.2400000002</v>
      </c>
      <c r="F420" s="63" t="s">
        <v>1835</v>
      </c>
      <c r="G420" s="207"/>
      <c r="H420" s="95"/>
    </row>
    <row r="421" spans="1:8" ht="25.5">
      <c r="A421" s="197"/>
      <c r="B421" s="98" t="s">
        <v>945</v>
      </c>
      <c r="C421" s="99" t="s">
        <v>1638</v>
      </c>
      <c r="D421" s="367">
        <f>+ROUND(SUM('Alim CE Costi'!E899:E906),2)</f>
        <v>1730243.26</v>
      </c>
      <c r="E421" s="367">
        <f>+ROUND(SUM('Alim CE Costi'!H899:H906),2)</f>
        <v>1570264.37</v>
      </c>
      <c r="F421" s="63"/>
      <c r="G421" s="207"/>
      <c r="H421" s="95"/>
    </row>
    <row r="422" spans="1:8" ht="25.5">
      <c r="A422" s="197"/>
      <c r="B422" s="98" t="s">
        <v>946</v>
      </c>
      <c r="C422" s="99" t="s">
        <v>1639</v>
      </c>
      <c r="D422" s="367">
        <f>+ROUND(SUM('Alim CE Costi'!E908:E915),2)</f>
        <v>77833.48</v>
      </c>
      <c r="E422" s="367">
        <f>+ROUND(SUM('Alim CE Costi'!H908:H915),2)</f>
        <v>122313.87</v>
      </c>
      <c r="F422" s="63"/>
      <c r="G422" s="207"/>
      <c r="H422" s="95"/>
    </row>
    <row r="423" spans="1:8" ht="25.5">
      <c r="A423" s="197"/>
      <c r="B423" s="98" t="s">
        <v>948</v>
      </c>
      <c r="C423" s="99" t="s">
        <v>1640</v>
      </c>
      <c r="D423" s="367">
        <f>+ROUND('Alim CE Costi'!E917,2)</f>
        <v>0</v>
      </c>
      <c r="E423" s="367">
        <f>+ROUND('Alim CE Costi'!H917,2)</f>
        <v>0</v>
      </c>
      <c r="F423" s="63"/>
      <c r="G423" s="207"/>
      <c r="H423" s="95"/>
    </row>
    <row r="424" spans="1:8" ht="25.5">
      <c r="A424" s="197"/>
      <c r="B424" s="116" t="s">
        <v>949</v>
      </c>
      <c r="C424" s="117" t="s">
        <v>1641</v>
      </c>
      <c r="D424" s="365">
        <f t="shared" ref="D424" si="170">SUM(D425:D427)</f>
        <v>4887633.59</v>
      </c>
      <c r="E424" s="365">
        <f t="shared" ref="E424" si="171">SUM(E425:E427)</f>
        <v>4249843.07</v>
      </c>
      <c r="F424" s="63" t="s">
        <v>1835</v>
      </c>
      <c r="G424" s="207"/>
      <c r="H424" s="95"/>
    </row>
    <row r="425" spans="1:8" ht="25.5">
      <c r="A425" s="197"/>
      <c r="B425" s="98" t="s">
        <v>950</v>
      </c>
      <c r="C425" s="99" t="s">
        <v>1642</v>
      </c>
      <c r="D425" s="367">
        <f>+ROUND(SUM('Alim CE Costi'!E920:E932),2)</f>
        <v>4477266.3600000003</v>
      </c>
      <c r="E425" s="367">
        <f>+ROUND(SUM('Alim CE Costi'!H920:H932),2)</f>
        <v>3613804.93</v>
      </c>
      <c r="F425" s="63"/>
      <c r="G425" s="207"/>
      <c r="H425" s="95"/>
    </row>
    <row r="426" spans="1:8" ht="25.5">
      <c r="A426" s="197"/>
      <c r="B426" s="98" t="s">
        <v>951</v>
      </c>
      <c r="C426" s="99" t="s">
        <v>1643</v>
      </c>
      <c r="D426" s="367">
        <f>+ROUND(SUM('Alim CE Costi'!E934:E946),2)</f>
        <v>410367.23</v>
      </c>
      <c r="E426" s="367">
        <f>+ROUND(SUM('Alim CE Costi'!H934:H946),2)</f>
        <v>636038.14</v>
      </c>
      <c r="F426" s="63"/>
      <c r="G426" s="207"/>
      <c r="H426" s="95"/>
    </row>
    <row r="427" spans="1:8" ht="25.5">
      <c r="A427" s="197"/>
      <c r="B427" s="98" t="s">
        <v>953</v>
      </c>
      <c r="C427" s="99" t="s">
        <v>1644</v>
      </c>
      <c r="D427" s="367">
        <f>+ROUND('Alim CE Costi'!E948,2)</f>
        <v>0</v>
      </c>
      <c r="E427" s="367">
        <f>+ROUND('Alim CE Costi'!H948,2)</f>
        <v>0</v>
      </c>
      <c r="F427" s="63"/>
      <c r="G427" s="207"/>
      <c r="H427" s="95"/>
    </row>
    <row r="428" spans="1:8" ht="18.75">
      <c r="A428" s="197"/>
      <c r="B428" s="121" t="s">
        <v>954</v>
      </c>
      <c r="C428" s="122" t="s">
        <v>1645</v>
      </c>
      <c r="D428" s="364">
        <f t="shared" ref="D428" si="172">+D429+D430+D431</f>
        <v>846055.06</v>
      </c>
      <c r="E428" s="364">
        <f t="shared" ref="E428" si="173">+E429+E430+E431</f>
        <v>942069.08000000007</v>
      </c>
      <c r="F428" s="63" t="s">
        <v>1835</v>
      </c>
      <c r="G428" s="207"/>
      <c r="H428" s="95"/>
    </row>
    <row r="429" spans="1:8" ht="18.75">
      <c r="A429" s="197"/>
      <c r="B429" s="96" t="s">
        <v>955</v>
      </c>
      <c r="C429" s="97" t="s">
        <v>1646</v>
      </c>
      <c r="D429" s="372">
        <f>+ROUND(SUM('Alim CE Costi'!E951:E957),2)</f>
        <v>76225.94</v>
      </c>
      <c r="E429" s="372">
        <f>+ROUND(SUM('Alim CE Costi'!H951:H957),2)</f>
        <v>66485.649999999994</v>
      </c>
      <c r="F429" s="63"/>
      <c r="G429" s="207"/>
      <c r="H429" s="95"/>
    </row>
    <row r="430" spans="1:8" ht="18.75">
      <c r="A430" s="197"/>
      <c r="B430" s="96" t="s">
        <v>964</v>
      </c>
      <c r="C430" s="97" t="s">
        <v>1647</v>
      </c>
      <c r="D430" s="372">
        <f>+ROUND('Alim CE Costi'!E959,2)</f>
        <v>0</v>
      </c>
      <c r="E430" s="372">
        <f>+ROUND('Alim CE Costi'!H959,2)</f>
        <v>0</v>
      </c>
      <c r="F430" s="63"/>
      <c r="G430" s="207"/>
      <c r="H430" s="95"/>
    </row>
    <row r="431" spans="1:8" ht="18.75">
      <c r="A431" s="197"/>
      <c r="B431" s="116" t="s">
        <v>966</v>
      </c>
      <c r="C431" s="117" t="s">
        <v>1648</v>
      </c>
      <c r="D431" s="365">
        <f t="shared" ref="D431" si="174">+D432+D433+D434+D435</f>
        <v>769829.12</v>
      </c>
      <c r="E431" s="365">
        <f t="shared" ref="E431" si="175">+E432+E433+E434+E435</f>
        <v>875583.43</v>
      </c>
      <c r="F431" s="63" t="s">
        <v>1835</v>
      </c>
      <c r="G431" s="207"/>
      <c r="H431" s="95"/>
    </row>
    <row r="432" spans="1:8" ht="25.5">
      <c r="A432" s="197"/>
      <c r="B432" s="98" t="s">
        <v>967</v>
      </c>
      <c r="C432" s="99" t="s">
        <v>1649</v>
      </c>
      <c r="D432" s="367">
        <f>+ROUND(SUM('Alim CE Costi'!E963:E973),2)</f>
        <v>769552.8</v>
      </c>
      <c r="E432" s="367">
        <f>+ROUND(SUM('Alim CE Costi'!H963:H973),2)</f>
        <v>875151.37</v>
      </c>
      <c r="F432" s="63"/>
      <c r="G432" s="207"/>
      <c r="H432" s="95"/>
    </row>
    <row r="433" spans="1:8" ht="18.75">
      <c r="A433" s="197"/>
      <c r="B433" s="98" t="s">
        <v>974</v>
      </c>
      <c r="C433" s="99" t="s">
        <v>1650</v>
      </c>
      <c r="D433" s="367">
        <f>+ROUND('Alim CE Costi'!E975+'Alim CE Costi'!E976+'Alim CE Costi'!E977,2)</f>
        <v>276.32</v>
      </c>
      <c r="E433" s="367">
        <f>+ROUND('Alim CE Costi'!H975+'Alim CE Costi'!H976+'Alim CE Costi'!H977,2)</f>
        <v>432.06</v>
      </c>
      <c r="F433" s="63"/>
      <c r="G433" s="207"/>
      <c r="H433" s="95"/>
    </row>
    <row r="434" spans="1:8" ht="25.5">
      <c r="A434" s="197" t="s">
        <v>1248</v>
      </c>
      <c r="B434" s="98" t="s">
        <v>978</v>
      </c>
      <c r="C434" s="99" t="s">
        <v>1651</v>
      </c>
      <c r="D434" s="367">
        <f>+ROUND('Alim CE Costi'!E979,2)</f>
        <v>0</v>
      </c>
      <c r="E434" s="367">
        <f>+ROUND('Alim CE Costi'!H979,2)</f>
        <v>0</v>
      </c>
      <c r="F434" s="63"/>
      <c r="G434" s="207"/>
      <c r="H434" s="95"/>
    </row>
    <row r="435" spans="1:8" ht="25.5">
      <c r="A435" s="197"/>
      <c r="B435" s="98" t="s">
        <v>980</v>
      </c>
      <c r="C435" s="99" t="s">
        <v>1652</v>
      </c>
      <c r="D435" s="367">
        <f>+ROUND('Alim CE Costi'!E981,2)</f>
        <v>0</v>
      </c>
      <c r="E435" s="367">
        <f>+ROUND('Alim CE Costi'!H981,2)</f>
        <v>0</v>
      </c>
      <c r="F435" s="63"/>
      <c r="G435" s="207"/>
      <c r="H435" s="95"/>
    </row>
    <row r="436" spans="1:8" ht="18.75">
      <c r="A436" s="197"/>
      <c r="B436" s="138" t="s">
        <v>1653</v>
      </c>
      <c r="C436" s="139" t="s">
        <v>1654</v>
      </c>
      <c r="D436" s="374">
        <f t="shared" ref="D436" si="176">+D437+D438</f>
        <v>188434.77</v>
      </c>
      <c r="E436" s="374">
        <f t="shared" ref="E436" si="177">+E437+E438</f>
        <v>165261.28</v>
      </c>
      <c r="F436" s="63" t="s">
        <v>1835</v>
      </c>
      <c r="G436" s="207"/>
      <c r="H436" s="95"/>
    </row>
    <row r="437" spans="1:8" ht="18.75">
      <c r="A437" s="197"/>
      <c r="B437" s="93" t="s">
        <v>981</v>
      </c>
      <c r="C437" s="94" t="s">
        <v>1655</v>
      </c>
      <c r="D437" s="367">
        <f>+ROUND(SUM('Alim CE Costi'!E983:E990),2)</f>
        <v>3728.28</v>
      </c>
      <c r="E437" s="367">
        <f>+ROUND(SUM('Alim CE Costi'!H983:H990),2)</f>
        <v>3904.91</v>
      </c>
      <c r="F437" s="63"/>
      <c r="G437" s="207"/>
      <c r="H437" s="95"/>
    </row>
    <row r="438" spans="1:8" ht="18.75">
      <c r="A438" s="197"/>
      <c r="B438" s="121" t="s">
        <v>989</v>
      </c>
      <c r="C438" s="122" t="s">
        <v>1656</v>
      </c>
      <c r="D438" s="364">
        <f t="shared" ref="D438" si="178">+D439+D442</f>
        <v>184706.49</v>
      </c>
      <c r="E438" s="364">
        <f t="shared" ref="E438" si="179">+E439+E442</f>
        <v>161356.37</v>
      </c>
      <c r="F438" s="63" t="s">
        <v>1835</v>
      </c>
      <c r="G438" s="207"/>
      <c r="H438" s="95"/>
    </row>
    <row r="439" spans="1:8" ht="18.75">
      <c r="A439" s="199"/>
      <c r="B439" s="116" t="s">
        <v>990</v>
      </c>
      <c r="C439" s="117" t="s">
        <v>1657</v>
      </c>
      <c r="D439" s="365">
        <f t="shared" ref="D439" si="180">+D440+D441</f>
        <v>0</v>
      </c>
      <c r="E439" s="365">
        <f t="shared" ref="E439" si="181">+E440+E441</f>
        <v>0</v>
      </c>
      <c r="F439" s="63" t="s">
        <v>1835</v>
      </c>
      <c r="G439" s="207"/>
      <c r="H439" s="95"/>
    </row>
    <row r="440" spans="1:8" ht="25.5">
      <c r="A440" s="199"/>
      <c r="B440" s="98" t="s">
        <v>992</v>
      </c>
      <c r="C440" s="99" t="s">
        <v>1658</v>
      </c>
      <c r="D440" s="367">
        <f>+ROUND('Alim CE Costi'!E994,2)</f>
        <v>0</v>
      </c>
      <c r="E440" s="367">
        <f>+ROUND('Alim CE Costi'!H994,2)</f>
        <v>0</v>
      </c>
      <c r="F440" s="310"/>
      <c r="G440" s="207"/>
      <c r="H440" s="95"/>
    </row>
    <row r="441" spans="1:8" ht="25.5">
      <c r="A441" s="199"/>
      <c r="B441" s="98" t="s">
        <v>994</v>
      </c>
      <c r="C441" s="99" t="s">
        <v>1659</v>
      </c>
      <c r="D441" s="367">
        <f>+ROUND('Alim CE Costi'!E996,2)</f>
        <v>0</v>
      </c>
      <c r="E441" s="367">
        <f>+ROUND('Alim CE Costi'!H996,2)</f>
        <v>0</v>
      </c>
      <c r="F441" s="310"/>
      <c r="G441" s="207"/>
      <c r="H441" s="95"/>
    </row>
    <row r="442" spans="1:8" ht="25.5">
      <c r="A442" s="199"/>
      <c r="B442" s="93" t="s">
        <v>995</v>
      </c>
      <c r="C442" s="94" t="s">
        <v>1660</v>
      </c>
      <c r="D442" s="367">
        <f>+ROUND(SUM('Alim CE Costi'!E998:E1002),2)</f>
        <v>184706.49</v>
      </c>
      <c r="E442" s="367">
        <f>+ROUND(SUM('Alim CE Costi'!H998:H1002),2)</f>
        <v>161356.37</v>
      </c>
      <c r="F442" s="310"/>
      <c r="G442" s="207"/>
      <c r="H442" s="95"/>
    </row>
    <row r="443" spans="1:8" ht="18.75">
      <c r="A443" s="199"/>
      <c r="B443" s="121" t="s">
        <v>1001</v>
      </c>
      <c r="C443" s="122" t="s">
        <v>1661</v>
      </c>
      <c r="D443" s="364">
        <f t="shared" ref="D443" si="182">+D444+D445</f>
        <v>0</v>
      </c>
      <c r="E443" s="364">
        <f t="shared" ref="E443" si="183">+E444+E445</f>
        <v>0</v>
      </c>
      <c r="F443" s="63" t="s">
        <v>1835</v>
      </c>
      <c r="G443" s="207"/>
      <c r="H443" s="95"/>
    </row>
    <row r="444" spans="1:8" ht="25.5">
      <c r="A444" s="199"/>
      <c r="B444" s="96" t="s">
        <v>1002</v>
      </c>
      <c r="C444" s="97" t="s">
        <v>1662</v>
      </c>
      <c r="D444" s="372">
        <f>+ROUND(SUM('Alim CE Costi'!E1006:E1020),2)</f>
        <v>0</v>
      </c>
      <c r="E444" s="372">
        <f>+ROUND(SUM('Alim CE Costi'!H1006:H1020),2)</f>
        <v>0</v>
      </c>
      <c r="F444" s="310"/>
      <c r="G444" s="207"/>
      <c r="H444" s="95"/>
    </row>
    <row r="445" spans="1:8" ht="18.75">
      <c r="A445" s="199"/>
      <c r="B445" s="96" t="s">
        <v>1018</v>
      </c>
      <c r="C445" s="97" t="s">
        <v>1663</v>
      </c>
      <c r="D445" s="367">
        <f>+ROUND(SUM('Alim CE Costi'!E1022:E1064),2)</f>
        <v>0</v>
      </c>
      <c r="E445" s="367">
        <f>+ROUND(SUM('Alim CE Costi'!H1022:H1064),2)</f>
        <v>0</v>
      </c>
      <c r="F445" s="310"/>
      <c r="G445" s="207"/>
      <c r="H445" s="95"/>
    </row>
    <row r="446" spans="1:8" ht="18.75">
      <c r="A446" s="199"/>
      <c r="B446" s="121" t="s">
        <v>1061</v>
      </c>
      <c r="C446" s="122" t="s">
        <v>1664</v>
      </c>
      <c r="D446" s="364">
        <f t="shared" ref="D446" si="184">+D447+D456</f>
        <v>-12636.510000000068</v>
      </c>
      <c r="E446" s="364">
        <f t="shared" ref="E446" si="185">+E447+E456</f>
        <v>-12369420.739999998</v>
      </c>
      <c r="F446" s="63" t="s">
        <v>1835</v>
      </c>
      <c r="G446" s="207"/>
      <c r="H446" s="95"/>
    </row>
    <row r="447" spans="1:8" ht="18.75">
      <c r="A447" s="199"/>
      <c r="B447" s="116" t="s">
        <v>1062</v>
      </c>
      <c r="C447" s="117" t="s">
        <v>1665</v>
      </c>
      <c r="D447" s="365">
        <f t="shared" ref="D447" si="186">SUM(D448:D455)</f>
        <v>-185721.45000000007</v>
      </c>
      <c r="E447" s="365">
        <f t="shared" ref="E447" si="187">SUM(E448:E455)</f>
        <v>-12775531.369999999</v>
      </c>
      <c r="F447" s="63" t="s">
        <v>1835</v>
      </c>
      <c r="G447" s="207"/>
      <c r="H447" s="95"/>
    </row>
    <row r="448" spans="1:8" ht="18.75">
      <c r="A448" s="199"/>
      <c r="B448" s="98" t="s">
        <v>1063</v>
      </c>
      <c r="C448" s="99" t="s">
        <v>1666</v>
      </c>
      <c r="D448" s="367">
        <f>+ROUND('Alim CE Costi'!E1068,2)</f>
        <v>-100684.65</v>
      </c>
      <c r="E448" s="367">
        <f>+ROUND('Alim CE Costi'!H1068,2)</f>
        <v>-10893715.439999999</v>
      </c>
      <c r="F448" s="310"/>
      <c r="G448" s="207"/>
      <c r="H448" s="95"/>
    </row>
    <row r="449" spans="1:8" ht="18.75">
      <c r="A449" s="199"/>
      <c r="B449" s="98" t="s">
        <v>1064</v>
      </c>
      <c r="C449" s="99" t="s">
        <v>1667</v>
      </c>
      <c r="D449" s="367">
        <f>+ROUND('Alim CE Costi'!E1070,2)</f>
        <v>0</v>
      </c>
      <c r="E449" s="367">
        <f>+ROUND('Alim CE Costi'!H1070,2)</f>
        <v>0</v>
      </c>
      <c r="F449" s="310"/>
      <c r="G449" s="207"/>
      <c r="H449" s="95"/>
    </row>
    <row r="450" spans="1:8" ht="18.75">
      <c r="A450" s="199"/>
      <c r="B450" s="98" t="s">
        <v>1065</v>
      </c>
      <c r="C450" s="99" t="s">
        <v>1668</v>
      </c>
      <c r="D450" s="367">
        <f>+ROUND('Alim CE Costi'!E1072,2)</f>
        <v>1128606.6399999999</v>
      </c>
      <c r="E450" s="367">
        <f>+ROUND('Alim CE Costi'!H1072,2)</f>
        <v>-1995933.73</v>
      </c>
      <c r="F450" s="310"/>
      <c r="G450" s="207"/>
      <c r="H450" s="95"/>
    </row>
    <row r="451" spans="1:8" ht="18.75">
      <c r="A451" s="199"/>
      <c r="B451" s="98" t="s">
        <v>1066</v>
      </c>
      <c r="C451" s="99" t="s">
        <v>1669</v>
      </c>
      <c r="D451" s="367">
        <f>+ROUND('Alim CE Costi'!E1074,2)</f>
        <v>-24949.67</v>
      </c>
      <c r="E451" s="367">
        <f>+ROUND('Alim CE Costi'!H1074,2)</f>
        <v>-103481</v>
      </c>
      <c r="F451" s="310"/>
      <c r="G451" s="207"/>
      <c r="H451" s="95"/>
    </row>
    <row r="452" spans="1:8" ht="18.75">
      <c r="A452" s="199"/>
      <c r="B452" s="98" t="s">
        <v>1067</v>
      </c>
      <c r="C452" s="99" t="s">
        <v>1670</v>
      </c>
      <c r="D452" s="367">
        <f>+ROUND('Alim CE Costi'!E1076,2)</f>
        <v>-1184071.6399999999</v>
      </c>
      <c r="E452" s="367">
        <f>+ROUND('Alim CE Costi'!H1076,2)</f>
        <v>-61261.68</v>
      </c>
      <c r="F452" s="310"/>
      <c r="G452" s="207"/>
      <c r="H452" s="95"/>
    </row>
    <row r="453" spans="1:8" ht="18.75">
      <c r="A453" s="199"/>
      <c r="B453" s="98" t="s">
        <v>1068</v>
      </c>
      <c r="C453" s="99" t="s">
        <v>1671</v>
      </c>
      <c r="D453" s="367">
        <f>+ROUND('Alim CE Costi'!E1078,2)</f>
        <v>5214.12</v>
      </c>
      <c r="E453" s="367">
        <f>+ROUND('Alim CE Costi'!H1078,2)</f>
        <v>-10347.68</v>
      </c>
      <c r="F453" s="310"/>
      <c r="G453" s="207"/>
      <c r="H453" s="95"/>
    </row>
    <row r="454" spans="1:8" ht="18.75">
      <c r="A454" s="199"/>
      <c r="B454" s="98" t="s">
        <v>1069</v>
      </c>
      <c r="C454" s="99" t="s">
        <v>1672</v>
      </c>
      <c r="D454" s="367">
        <f>+ROUND('Alim CE Costi'!E1080,2)</f>
        <v>4090.97</v>
      </c>
      <c r="E454" s="367">
        <f>+ROUND('Alim CE Costi'!H1080,2)</f>
        <v>-28708.95</v>
      </c>
      <c r="F454" s="310"/>
      <c r="G454" s="207"/>
      <c r="H454" s="95"/>
    </row>
    <row r="455" spans="1:8" ht="18.75">
      <c r="A455" s="199"/>
      <c r="B455" s="98" t="s">
        <v>1070</v>
      </c>
      <c r="C455" s="99" t="s">
        <v>1673</v>
      </c>
      <c r="D455" s="367">
        <f>+ROUND('Alim CE Costi'!E1082,2)</f>
        <v>-13927.22</v>
      </c>
      <c r="E455" s="367">
        <f>+ROUND('Alim CE Costi'!H1082,2)</f>
        <v>317917.11</v>
      </c>
      <c r="F455" s="310"/>
      <c r="G455" s="207"/>
      <c r="H455" s="95"/>
    </row>
    <row r="456" spans="1:8" ht="18.75">
      <c r="A456" s="199"/>
      <c r="B456" s="116" t="s">
        <v>1071</v>
      </c>
      <c r="C456" s="117" t="s">
        <v>1674</v>
      </c>
      <c r="D456" s="365">
        <f t="shared" ref="D456" si="188">SUM(D457:D462)</f>
        <v>173084.94</v>
      </c>
      <c r="E456" s="365">
        <f t="shared" ref="E456" si="189">SUM(E457:E462)</f>
        <v>406110.62999999995</v>
      </c>
      <c r="F456" s="63" t="s">
        <v>1835</v>
      </c>
      <c r="G456" s="207"/>
      <c r="H456" s="95"/>
    </row>
    <row r="457" spans="1:8" ht="18.75">
      <c r="A457" s="199"/>
      <c r="B457" s="98" t="s">
        <v>1072</v>
      </c>
      <c r="C457" s="99" t="s">
        <v>1675</v>
      </c>
      <c r="D457" s="367">
        <f>+ROUND('Alim CE Costi'!E1085,2)</f>
        <v>1809.19</v>
      </c>
      <c r="E457" s="367">
        <f>+ROUND('Alim CE Costi'!H1085,2)</f>
        <v>-224.46</v>
      </c>
      <c r="F457" s="310"/>
      <c r="G457" s="207"/>
      <c r="H457" s="95"/>
    </row>
    <row r="458" spans="1:8" ht="25.5">
      <c r="A458" s="199"/>
      <c r="B458" s="98" t="s">
        <v>1073</v>
      </c>
      <c r="C458" s="99" t="s">
        <v>1676</v>
      </c>
      <c r="D458" s="367">
        <f>+ROUND('Alim CE Costi'!E1087,2)</f>
        <v>162077.07999999999</v>
      </c>
      <c r="E458" s="367">
        <f>+ROUND('Alim CE Costi'!H1087,2)</f>
        <v>411616.5</v>
      </c>
      <c r="F458" s="310"/>
      <c r="G458" s="207"/>
      <c r="H458" s="95"/>
    </row>
    <row r="459" spans="1:8" ht="18.75">
      <c r="A459" s="199"/>
      <c r="B459" s="98" t="s">
        <v>1074</v>
      </c>
      <c r="C459" s="99" t="s">
        <v>1677</v>
      </c>
      <c r="D459" s="367">
        <f>+ROUND('Alim CE Costi'!E1089,2)</f>
        <v>0</v>
      </c>
      <c r="E459" s="367">
        <f>+ROUND('Alim CE Costi'!H1089,2)</f>
        <v>0</v>
      </c>
      <c r="F459" s="310"/>
      <c r="G459" s="207"/>
      <c r="H459" s="95"/>
    </row>
    <row r="460" spans="1:8" ht="18.75">
      <c r="A460" s="199"/>
      <c r="B460" s="98" t="s">
        <v>1075</v>
      </c>
      <c r="C460" s="99" t="s">
        <v>1678</v>
      </c>
      <c r="D460" s="367">
        <f>+ROUND('Alim CE Costi'!E1091,2)</f>
        <v>-5079.0200000000004</v>
      </c>
      <c r="E460" s="367">
        <f>+ROUND('Alim CE Costi'!H1091,2)</f>
        <v>7426.1</v>
      </c>
      <c r="F460" s="310"/>
      <c r="G460" s="207"/>
      <c r="H460" s="95"/>
    </row>
    <row r="461" spans="1:8" ht="18.75">
      <c r="A461" s="199"/>
      <c r="B461" s="98" t="s">
        <v>1076</v>
      </c>
      <c r="C461" s="99" t="s">
        <v>1679</v>
      </c>
      <c r="D461" s="367">
        <f>+ROUND('Alim CE Costi'!E1093,2)</f>
        <v>15177.41</v>
      </c>
      <c r="E461" s="367">
        <f>+ROUND('Alim CE Costi'!H1093,2)</f>
        <v>-16552.63</v>
      </c>
      <c r="F461" s="310"/>
      <c r="G461" s="207"/>
      <c r="H461" s="95"/>
    </row>
    <row r="462" spans="1:8" ht="18.75">
      <c r="A462" s="199"/>
      <c r="B462" s="98" t="s">
        <v>1077</v>
      </c>
      <c r="C462" s="99" t="s">
        <v>1680</v>
      </c>
      <c r="D462" s="367">
        <f>+ROUND('Alim CE Costi'!E1095,2)</f>
        <v>-899.72</v>
      </c>
      <c r="E462" s="367">
        <f>+ROUND('Alim CE Costi'!H1095,2)</f>
        <v>3845.12</v>
      </c>
      <c r="F462" s="310"/>
      <c r="G462" s="207"/>
      <c r="H462" s="95"/>
    </row>
    <row r="463" spans="1:8" ht="18.75">
      <c r="A463" s="199"/>
      <c r="B463" s="121" t="s">
        <v>1078</v>
      </c>
      <c r="C463" s="122" t="s">
        <v>1681</v>
      </c>
      <c r="D463" s="364">
        <f t="shared" ref="D463" si="190">+D464+D472+D473+D480</f>
        <v>51031003.590000004</v>
      </c>
      <c r="E463" s="364">
        <f t="shared" ref="E463" si="191">+E464+E472+E473+E480</f>
        <v>35290825.199999996</v>
      </c>
      <c r="F463" s="63" t="s">
        <v>1835</v>
      </c>
      <c r="G463" s="207"/>
      <c r="H463" s="95"/>
    </row>
    <row r="464" spans="1:8" ht="18.75">
      <c r="A464" s="199"/>
      <c r="B464" s="116" t="s">
        <v>1079</v>
      </c>
      <c r="C464" s="117" t="s">
        <v>1682</v>
      </c>
      <c r="D464" s="365">
        <f t="shared" ref="D464" si="192">SUM(D465:D471)</f>
        <v>17163207.380000003</v>
      </c>
      <c r="E464" s="365">
        <f t="shared" ref="E464" si="193">SUM(E465:E471)</f>
        <v>14801743.380000001</v>
      </c>
      <c r="F464" s="63" t="s">
        <v>1835</v>
      </c>
      <c r="G464" s="207"/>
      <c r="H464" s="95"/>
    </row>
    <row r="465" spans="1:8" ht="25.5">
      <c r="A465" s="199"/>
      <c r="B465" s="98" t="s">
        <v>1081</v>
      </c>
      <c r="C465" s="99" t="s">
        <v>1683</v>
      </c>
      <c r="D465" s="367">
        <f>+ROUND('Alim CE Costi'!E1099,2)</f>
        <v>51479.6</v>
      </c>
      <c r="E465" s="367">
        <f>+ROUND('Alim CE Costi'!H1099,2)</f>
        <v>0</v>
      </c>
      <c r="F465" s="310"/>
      <c r="G465" s="207"/>
      <c r="H465" s="95"/>
    </row>
    <row r="466" spans="1:8" ht="25.5">
      <c r="A466" s="199"/>
      <c r="B466" s="98" t="s">
        <v>1083</v>
      </c>
      <c r="C466" s="99" t="s">
        <v>1684</v>
      </c>
      <c r="D466" s="367">
        <f>+ROUND('Alim CE Costi'!E1101,2)</f>
        <v>0</v>
      </c>
      <c r="E466" s="367">
        <f>+ROUND('Alim CE Costi'!H1101,2)</f>
        <v>0</v>
      </c>
      <c r="F466" s="310"/>
      <c r="G466" s="207"/>
      <c r="H466" s="95"/>
    </row>
    <row r="467" spans="1:8" ht="25.5">
      <c r="A467" s="199"/>
      <c r="B467" s="98" t="s">
        <v>1085</v>
      </c>
      <c r="C467" s="99" t="s">
        <v>1685</v>
      </c>
      <c r="D467" s="367">
        <f>+ROUND('Alim CE Costi'!E1103,2)</f>
        <v>0</v>
      </c>
      <c r="E467" s="367">
        <f>+ROUND('Alim CE Costi'!H1103,2)</f>
        <v>0</v>
      </c>
      <c r="F467" s="310"/>
      <c r="G467" s="207"/>
      <c r="H467" s="95"/>
    </row>
    <row r="468" spans="1:8" ht="25.5">
      <c r="A468" s="199"/>
      <c r="B468" s="98" t="s">
        <v>1087</v>
      </c>
      <c r="C468" s="99" t="s">
        <v>1686</v>
      </c>
      <c r="D468" s="367">
        <f>+ROUND('Alim CE Costi'!E1105,2)</f>
        <v>0</v>
      </c>
      <c r="E468" s="367">
        <f>+ROUND('Alim CE Costi'!H1105,2)</f>
        <v>0</v>
      </c>
      <c r="F468" s="310"/>
      <c r="G468" s="207"/>
      <c r="H468" s="95"/>
    </row>
    <row r="469" spans="1:8" ht="18.75">
      <c r="A469" s="199"/>
      <c r="B469" s="98" t="s">
        <v>1089</v>
      </c>
      <c r="C469" s="99" t="s">
        <v>1687</v>
      </c>
      <c r="D469" s="367">
        <f>+ROUND('Alim CE Costi'!E1107,2)</f>
        <v>17111727.780000001</v>
      </c>
      <c r="E469" s="367">
        <f>+ROUND('Alim CE Costi'!H1107,2)</f>
        <v>13801743.380000001</v>
      </c>
      <c r="F469" s="310"/>
      <c r="G469" s="207"/>
      <c r="H469" s="95"/>
    </row>
    <row r="470" spans="1:8" ht="18.75">
      <c r="A470" s="199"/>
      <c r="B470" s="98" t="s">
        <v>1091</v>
      </c>
      <c r="C470" s="99" t="s">
        <v>1688</v>
      </c>
      <c r="D470" s="367">
        <f>+ROUND('Alim CE Costi'!E1109+'Alim CE Costi'!E1110+'Alim CE Costi'!E1111,2)</f>
        <v>0</v>
      </c>
      <c r="E470" s="367">
        <f>+ROUND('Alim CE Costi'!H1109+'Alim CE Costi'!H1110+'Alim CE Costi'!H1111,2)</f>
        <v>0</v>
      </c>
      <c r="F470" s="310"/>
      <c r="G470" s="207"/>
      <c r="H470" s="95"/>
    </row>
    <row r="471" spans="1:8" ht="18.75">
      <c r="A471" s="199"/>
      <c r="B471" s="98" t="s">
        <v>1095</v>
      </c>
      <c r="C471" s="99" t="s">
        <v>1689</v>
      </c>
      <c r="D471" s="367">
        <f>+ROUND('Alim CE Costi'!E1113,2)</f>
        <v>0</v>
      </c>
      <c r="E471" s="367">
        <f>+ROUND('Alim CE Costi'!H1113,2)</f>
        <v>1000000</v>
      </c>
      <c r="F471" s="310"/>
      <c r="G471" s="207"/>
      <c r="H471" s="95"/>
    </row>
    <row r="472" spans="1:8" ht="25.5">
      <c r="A472" s="199"/>
      <c r="B472" s="96" t="s">
        <v>1096</v>
      </c>
      <c r="C472" s="97" t="s">
        <v>1690</v>
      </c>
      <c r="D472" s="367">
        <f>+ROUND('Alim CE Costi'!E1115+'Alim CE Costi'!E1116,2)</f>
        <v>0</v>
      </c>
      <c r="E472" s="367">
        <f>+ROUND('Alim CE Costi'!H1115+'Alim CE Costi'!H1116,2)</f>
        <v>0</v>
      </c>
      <c r="F472" s="310"/>
      <c r="G472" s="207"/>
      <c r="H472" s="95"/>
    </row>
    <row r="473" spans="1:8" ht="25.5">
      <c r="A473" s="199"/>
      <c r="B473" s="116" t="s">
        <v>1099</v>
      </c>
      <c r="C473" s="117" t="s">
        <v>1691</v>
      </c>
      <c r="D473" s="365">
        <f t="shared" ref="D473" si="194">SUM(D474:D479)</f>
        <v>33433716.41</v>
      </c>
      <c r="E473" s="365">
        <f t="shared" ref="E473" si="195">SUM(E474:E479)</f>
        <v>17878008.77</v>
      </c>
      <c r="F473" s="63" t="s">
        <v>1835</v>
      </c>
      <c r="G473" s="207"/>
      <c r="H473" s="95"/>
    </row>
    <row r="474" spans="1:8" ht="25.5">
      <c r="A474" s="199"/>
      <c r="B474" s="98" t="s">
        <v>1100</v>
      </c>
      <c r="C474" s="99" t="s">
        <v>1692</v>
      </c>
      <c r="D474" s="367">
        <f>+ROUND('Alim CE Costi'!E1119,2)</f>
        <v>2472260.96</v>
      </c>
      <c r="E474" s="367">
        <f>+ROUND('Alim CE Costi'!H1119,2)</f>
        <v>15774563</v>
      </c>
      <c r="F474" s="310"/>
      <c r="G474" s="207"/>
      <c r="H474" s="95"/>
    </row>
    <row r="475" spans="1:8" ht="25.5">
      <c r="A475" s="199"/>
      <c r="B475" s="98" t="s">
        <v>1102</v>
      </c>
      <c r="C475" s="99" t="s">
        <v>1693</v>
      </c>
      <c r="D475" s="367">
        <f>+ROUND('Alim CE Costi'!E1121,2)</f>
        <v>0</v>
      </c>
      <c r="E475" s="367">
        <f>+ROUND('Alim CE Costi'!H1121,2)</f>
        <v>0</v>
      </c>
      <c r="F475" s="310"/>
      <c r="G475" s="207"/>
      <c r="H475" s="95"/>
    </row>
    <row r="476" spans="1:8" ht="25.5">
      <c r="A476" s="199"/>
      <c r="B476" s="98" t="s">
        <v>1104</v>
      </c>
      <c r="C476" s="99" t="s">
        <v>1694</v>
      </c>
      <c r="D476" s="367">
        <f>+ROUND('Alim CE Costi'!E1123,2)</f>
        <v>30854886.870000001</v>
      </c>
      <c r="E476" s="367">
        <f>+ROUND('Alim CE Costi'!H1123,2)</f>
        <v>2103220.54</v>
      </c>
      <c r="F476" s="310"/>
      <c r="G476" s="207"/>
      <c r="H476" s="95"/>
    </row>
    <row r="477" spans="1:8" ht="25.5">
      <c r="A477" s="199"/>
      <c r="B477" s="98" t="s">
        <v>1106</v>
      </c>
      <c r="C477" s="99" t="s">
        <v>1695</v>
      </c>
      <c r="D477" s="367">
        <f>+ROUND('Alim CE Costi'!E1125,2)</f>
        <v>0</v>
      </c>
      <c r="E477" s="367">
        <f>+ROUND('Alim CE Costi'!H1125,2)</f>
        <v>0</v>
      </c>
      <c r="F477" s="310"/>
      <c r="G477" s="207"/>
      <c r="H477" s="95"/>
    </row>
    <row r="478" spans="1:8" ht="25.5">
      <c r="A478" s="199"/>
      <c r="B478" s="98" t="s">
        <v>1107</v>
      </c>
      <c r="C478" s="99" t="s">
        <v>1696</v>
      </c>
      <c r="D478" s="367">
        <f>+ROUND('Alim CE Costi'!E1127+'Alim CE Costi'!E1128,2)</f>
        <v>106568.58</v>
      </c>
      <c r="E478" s="367">
        <f>+ROUND('Alim CE Costi'!H1127+'Alim CE Costi'!H1128,2)</f>
        <v>225.23</v>
      </c>
      <c r="F478" s="310"/>
      <c r="G478" s="207"/>
      <c r="H478" s="95"/>
    </row>
    <row r="479" spans="1:8" ht="25.5">
      <c r="A479" s="199"/>
      <c r="B479" s="98" t="s">
        <v>1111</v>
      </c>
      <c r="C479" s="99" t="s">
        <v>1697</v>
      </c>
      <c r="D479" s="367">
        <f>+ROUND('Alim CE Costi'!E1130,2)</f>
        <v>0</v>
      </c>
      <c r="E479" s="367">
        <f>+ROUND('Alim CE Costi'!H1130,2)</f>
        <v>0</v>
      </c>
      <c r="F479" s="310"/>
      <c r="G479" s="207"/>
      <c r="H479" s="95"/>
    </row>
    <row r="480" spans="1:8" ht="18.75">
      <c r="A480" s="199"/>
      <c r="B480" s="116" t="s">
        <v>1113</v>
      </c>
      <c r="C480" s="117" t="s">
        <v>1698</v>
      </c>
      <c r="D480" s="365">
        <f t="shared" ref="D480" si="196">SUM(D481:D490)</f>
        <v>434079.8</v>
      </c>
      <c r="E480" s="365">
        <f t="shared" ref="E480" si="197">SUM(E481:E490)</f>
        <v>2611073.0499999998</v>
      </c>
      <c r="F480" s="63" t="s">
        <v>1835</v>
      </c>
      <c r="G480" s="207"/>
      <c r="H480" s="95"/>
    </row>
    <row r="481" spans="1:24" ht="18.75">
      <c r="A481" s="199"/>
      <c r="B481" s="105" t="s">
        <v>1115</v>
      </c>
      <c r="C481" s="106" t="s">
        <v>1699</v>
      </c>
      <c r="D481" s="367">
        <f>+ROUND('Alim CE Costi'!E1133,2)</f>
        <v>0</v>
      </c>
      <c r="E481" s="367">
        <f>+ROUND('Alim CE Costi'!H1133,2)</f>
        <v>0</v>
      </c>
      <c r="F481" s="310"/>
      <c r="G481" s="207"/>
      <c r="H481" s="95"/>
    </row>
    <row r="482" spans="1:24" ht="18.75">
      <c r="A482" s="199"/>
      <c r="B482" s="105" t="s">
        <v>1117</v>
      </c>
      <c r="C482" s="106" t="s">
        <v>1700</v>
      </c>
      <c r="D482" s="367">
        <f>+ROUND('Alim CE Costi'!E1135,2)</f>
        <v>0</v>
      </c>
      <c r="E482" s="367">
        <f>+ROUND('Alim CE Costi'!H1135,2)</f>
        <v>0</v>
      </c>
      <c r="F482" s="310"/>
      <c r="G482" s="207"/>
      <c r="H482" s="95"/>
      <c r="X482" s="807"/>
    </row>
    <row r="483" spans="1:24" ht="18.75">
      <c r="A483" s="199"/>
      <c r="B483" s="105" t="s">
        <v>1119</v>
      </c>
      <c r="C483" s="106" t="s">
        <v>1701</v>
      </c>
      <c r="D483" s="367">
        <f>+ROUND('Alim CE Costi'!E1137,2)</f>
        <v>22075</v>
      </c>
      <c r="E483" s="367">
        <f>+ROUND('Alim CE Costi'!H1137,2)</f>
        <v>2013788.41</v>
      </c>
      <c r="F483" s="310"/>
      <c r="G483" s="207"/>
      <c r="H483" s="95"/>
    </row>
    <row r="484" spans="1:24" ht="18.75">
      <c r="A484" s="199"/>
      <c r="B484" s="98" t="s">
        <v>1121</v>
      </c>
      <c r="C484" s="99" t="s">
        <v>1702</v>
      </c>
      <c r="D484" s="367">
        <f>+ROUND('Alim CE Costi'!E1139,2)</f>
        <v>47026</v>
      </c>
      <c r="E484" s="367">
        <f>+ROUND('Alim CE Costi'!H1139,2)</f>
        <v>68721.3</v>
      </c>
      <c r="F484" s="310"/>
      <c r="G484" s="207"/>
      <c r="H484" s="95"/>
    </row>
    <row r="485" spans="1:24" ht="18.75">
      <c r="A485" s="199"/>
      <c r="B485" s="98" t="s">
        <v>1123</v>
      </c>
      <c r="C485" s="99" t="s">
        <v>1703</v>
      </c>
      <c r="D485" s="367">
        <f>+ROUND('Alim CE Costi'!E1141,2)</f>
        <v>115648</v>
      </c>
      <c r="E485" s="367">
        <f>+ROUND('Alim CE Costi'!H1141,2)</f>
        <v>0</v>
      </c>
      <c r="F485" s="310"/>
      <c r="G485" s="207"/>
      <c r="H485" s="95"/>
    </row>
    <row r="486" spans="1:24" ht="18.75">
      <c r="A486" s="199"/>
      <c r="B486" s="98" t="s">
        <v>1125</v>
      </c>
      <c r="C486" s="99" t="s">
        <v>1704</v>
      </c>
      <c r="D486" s="367">
        <f>+ROUND('Alim CE Costi'!E1143,2)</f>
        <v>0</v>
      </c>
      <c r="E486" s="367">
        <f>+ROUND('Alim CE Costi'!H1143,2)</f>
        <v>0</v>
      </c>
      <c r="F486" s="310"/>
      <c r="G486" s="207"/>
      <c r="H486" s="95"/>
    </row>
    <row r="487" spans="1:24" ht="18.75">
      <c r="A487" s="199"/>
      <c r="B487" s="98" t="s">
        <v>1127</v>
      </c>
      <c r="C487" s="99" t="s">
        <v>1705</v>
      </c>
      <c r="D487" s="367">
        <f>+ROUND('Alim CE Costi'!E1145,2)</f>
        <v>0</v>
      </c>
      <c r="E487" s="367">
        <f>+ROUND('Alim CE Costi'!H1145,2)</f>
        <v>0</v>
      </c>
      <c r="F487" s="310"/>
      <c r="G487" s="207"/>
      <c r="H487" s="95"/>
    </row>
    <row r="488" spans="1:24" ht="18.75">
      <c r="A488" s="199"/>
      <c r="B488" s="98" t="s">
        <v>1129</v>
      </c>
      <c r="C488" s="99" t="s">
        <v>1706</v>
      </c>
      <c r="D488" s="367">
        <f>+ROUND('Alim CE Costi'!E1147,2)</f>
        <v>0</v>
      </c>
      <c r="E488" s="367">
        <f>+ROUND('Alim CE Costi'!H1147,2)</f>
        <v>0</v>
      </c>
      <c r="F488" s="310"/>
      <c r="G488" s="207"/>
      <c r="H488" s="95"/>
    </row>
    <row r="489" spans="1:24" ht="25.5">
      <c r="A489" s="199"/>
      <c r="B489" s="98" t="s">
        <v>1131</v>
      </c>
      <c r="C489" s="99" t="s">
        <v>1707</v>
      </c>
      <c r="D489" s="367">
        <f>+ROUND('Alim CE Costi'!E1149,2)</f>
        <v>249330.8</v>
      </c>
      <c r="E489" s="367">
        <f>+ROUND('Alim CE Costi'!H1149,2)</f>
        <v>3449.65</v>
      </c>
      <c r="F489" s="310"/>
      <c r="G489" s="207"/>
      <c r="H489" s="95"/>
    </row>
    <row r="490" spans="1:24" ht="18.75">
      <c r="A490" s="199"/>
      <c r="B490" s="105" t="s">
        <v>1132</v>
      </c>
      <c r="C490" s="107" t="s">
        <v>1708</v>
      </c>
      <c r="D490" s="367">
        <f>+ROUND('Alim CE Costi'!E1151,2)</f>
        <v>0</v>
      </c>
      <c r="E490" s="367">
        <f>+ROUND('Alim CE Costi'!H1151,2)</f>
        <v>525113.68999999994</v>
      </c>
      <c r="F490" s="310"/>
      <c r="G490" s="207"/>
      <c r="H490" s="95"/>
    </row>
    <row r="491" spans="1:24" ht="18.75">
      <c r="A491" s="197"/>
      <c r="B491" s="123" t="s">
        <v>1709</v>
      </c>
      <c r="C491" s="124" t="s">
        <v>1710</v>
      </c>
      <c r="D491" s="370">
        <f>+D463+D446+D436+D428+D386+D376+D368+D199+D160+D443</f>
        <v>572031850.86000001</v>
      </c>
      <c r="E491" s="370">
        <f>+E463+E446+E436+E428+E386+E376+E368+E199+E160+E443</f>
        <v>509088911.49000001</v>
      </c>
      <c r="F491" s="63"/>
      <c r="G491" s="207"/>
      <c r="H491" s="95"/>
    </row>
    <row r="492" spans="1:24" ht="18.75">
      <c r="A492" s="197"/>
      <c r="B492" s="131"/>
      <c r="C492" s="132" t="s">
        <v>1711</v>
      </c>
      <c r="D492" s="371"/>
      <c r="E492" s="371"/>
      <c r="F492" s="63"/>
      <c r="G492" s="207"/>
      <c r="H492" s="95"/>
    </row>
    <row r="493" spans="1:24" ht="18.75">
      <c r="A493" s="197"/>
      <c r="B493" s="121" t="s">
        <v>397</v>
      </c>
      <c r="C493" s="122" t="s">
        <v>1712</v>
      </c>
      <c r="D493" s="364">
        <f t="shared" ref="D493" si="198">+D494+D495+D496</f>
        <v>0.7</v>
      </c>
      <c r="E493" s="364">
        <f t="shared" ref="E493" si="199">+E494+E495+E496</f>
        <v>0</v>
      </c>
      <c r="F493" s="63" t="s">
        <v>1835</v>
      </c>
      <c r="G493" s="207"/>
      <c r="H493" s="95"/>
    </row>
    <row r="494" spans="1:24" ht="18.75">
      <c r="A494" s="197"/>
      <c r="B494" s="96" t="s">
        <v>399</v>
      </c>
      <c r="C494" s="97" t="s">
        <v>1713</v>
      </c>
      <c r="D494" s="367">
        <f>+ROUND('Alim CE Ricavi'!E320,2)</f>
        <v>0.7</v>
      </c>
      <c r="E494" s="367">
        <f>+ROUND('Alim CE Ricavi'!H320,2)</f>
        <v>0</v>
      </c>
      <c r="F494" s="63"/>
      <c r="G494" s="207"/>
      <c r="H494" s="95"/>
    </row>
    <row r="495" spans="1:24" ht="18.75">
      <c r="A495" s="197"/>
      <c r="B495" s="96" t="s">
        <v>400</v>
      </c>
      <c r="C495" s="97" t="s">
        <v>1714</v>
      </c>
      <c r="D495" s="367">
        <f>+ROUND('Alim CE Ricavi'!E322+'Alim CE Ricavi'!E323,2)</f>
        <v>0</v>
      </c>
      <c r="E495" s="367">
        <f>+ROUND('Alim CE Ricavi'!H322+'Alim CE Ricavi'!H323,2)</f>
        <v>0</v>
      </c>
      <c r="F495" s="63"/>
      <c r="G495" s="207"/>
      <c r="H495" s="95"/>
    </row>
    <row r="496" spans="1:24" ht="18.75">
      <c r="A496" s="197"/>
      <c r="B496" s="96" t="s">
        <v>404</v>
      </c>
      <c r="C496" s="97" t="s">
        <v>1715</v>
      </c>
      <c r="D496" s="367">
        <f>+ROUND('Alim CE Ricavi'!E325+'Alim CE Ricavi'!E327+'Alim CE Ricavi'!E326,2)</f>
        <v>0</v>
      </c>
      <c r="E496" s="367">
        <f>+ROUND('Alim CE Ricavi'!H325+'Alim CE Ricavi'!H327+'Alim CE Ricavi'!H326,2)</f>
        <v>0</v>
      </c>
      <c r="F496" s="63"/>
      <c r="G496" s="207"/>
      <c r="H496" s="95"/>
    </row>
    <row r="497" spans="1:8" ht="18.75">
      <c r="A497" s="197"/>
      <c r="B497" s="121" t="s">
        <v>406</v>
      </c>
      <c r="C497" s="122" t="s">
        <v>1716</v>
      </c>
      <c r="D497" s="364">
        <f t="shared" ref="D497" si="200">SUM(D498:D502)</f>
        <v>0</v>
      </c>
      <c r="E497" s="364">
        <f t="shared" ref="E497" si="201">SUM(E498:E502)</f>
        <v>0</v>
      </c>
      <c r="F497" s="63" t="s">
        <v>1835</v>
      </c>
      <c r="G497" s="207"/>
      <c r="H497" s="95"/>
    </row>
    <row r="498" spans="1:8" ht="18.75">
      <c r="A498" s="197"/>
      <c r="B498" s="96" t="s">
        <v>408</v>
      </c>
      <c r="C498" s="97" t="s">
        <v>1717</v>
      </c>
      <c r="D498" s="367">
        <f>+ROUND('Alim CE Ricavi'!E330,2)</f>
        <v>0</v>
      </c>
      <c r="E498" s="367">
        <f>+ROUND('Alim CE Ricavi'!H330,2)</f>
        <v>0</v>
      </c>
      <c r="F498" s="63"/>
      <c r="G498" s="207"/>
      <c r="H498" s="95"/>
    </row>
    <row r="499" spans="1:8" ht="25.5">
      <c r="A499" s="197"/>
      <c r="B499" s="96" t="s">
        <v>410</v>
      </c>
      <c r="C499" s="97" t="s">
        <v>1718</v>
      </c>
      <c r="D499" s="367">
        <f>+ROUND('Alim CE Ricavi'!E332,2)</f>
        <v>0</v>
      </c>
      <c r="E499" s="367">
        <f>+ROUND('Alim CE Ricavi'!H332,2)</f>
        <v>0</v>
      </c>
      <c r="F499" s="63"/>
      <c r="G499" s="207"/>
      <c r="H499" s="95"/>
    </row>
    <row r="500" spans="1:8" ht="25.5">
      <c r="A500" s="197"/>
      <c r="B500" s="96" t="s">
        <v>412</v>
      </c>
      <c r="C500" s="97" t="s">
        <v>1719</v>
      </c>
      <c r="D500" s="367">
        <f>+ROUND('Alim CE Ricavi'!E334,2)</f>
        <v>0</v>
      </c>
      <c r="E500" s="367">
        <f>+ROUND('Alim CE Ricavi'!H334,2)</f>
        <v>0</v>
      </c>
      <c r="F500" s="63"/>
      <c r="G500" s="207"/>
      <c r="H500" s="95"/>
    </row>
    <row r="501" spans="1:8" ht="18.75">
      <c r="A501" s="197"/>
      <c r="B501" s="96" t="s">
        <v>414</v>
      </c>
      <c r="C501" s="97" t="s">
        <v>1720</v>
      </c>
      <c r="D501" s="367">
        <f>+ROUND('Alim CE Ricavi'!E336,2)</f>
        <v>0</v>
      </c>
      <c r="E501" s="367">
        <f>+ROUND('Alim CE Ricavi'!H336,2)</f>
        <v>0</v>
      </c>
      <c r="F501" s="63"/>
      <c r="G501" s="207"/>
      <c r="H501" s="95"/>
    </row>
    <row r="502" spans="1:8" ht="18.75">
      <c r="A502" s="197"/>
      <c r="B502" s="96" t="s">
        <v>416</v>
      </c>
      <c r="C502" s="97" t="s">
        <v>1721</v>
      </c>
      <c r="D502" s="367">
        <f>+ROUND('Alim CE Ricavi'!E338,2)</f>
        <v>0</v>
      </c>
      <c r="E502" s="367">
        <f>+ROUND('Alim CE Ricavi'!H338,2)</f>
        <v>0</v>
      </c>
      <c r="F502" s="63"/>
      <c r="G502" s="207"/>
      <c r="H502" s="95"/>
    </row>
    <row r="503" spans="1:8" ht="18.75">
      <c r="A503" s="197"/>
      <c r="B503" s="121" t="s">
        <v>1133</v>
      </c>
      <c r="C503" s="122" t="s">
        <v>1722</v>
      </c>
      <c r="D503" s="364">
        <f t="shared" ref="D503" si="202">SUM(D504:D506)</f>
        <v>0</v>
      </c>
      <c r="E503" s="364">
        <f t="shared" ref="E503" si="203">SUM(E504:E506)</f>
        <v>0</v>
      </c>
      <c r="F503" s="63" t="s">
        <v>1835</v>
      </c>
      <c r="G503" s="207"/>
      <c r="H503" s="95"/>
    </row>
    <row r="504" spans="1:8" ht="18.75">
      <c r="A504" s="197"/>
      <c r="B504" s="96" t="s">
        <v>1135</v>
      </c>
      <c r="C504" s="97" t="s">
        <v>1723</v>
      </c>
      <c r="D504" s="367">
        <f>+ROUND('Alim CE Costi'!E1155,2)</f>
        <v>0</v>
      </c>
      <c r="E504" s="367">
        <f>+ROUND('Alim CE Costi'!H1155,2)</f>
        <v>0</v>
      </c>
      <c r="F504" s="63"/>
      <c r="G504" s="207"/>
      <c r="H504" s="95"/>
    </row>
    <row r="505" spans="1:8" ht="18.75">
      <c r="A505" s="197"/>
      <c r="B505" s="96" t="s">
        <v>1137</v>
      </c>
      <c r="C505" s="97" t="s">
        <v>1724</v>
      </c>
      <c r="D505" s="367">
        <f>+ROUND('Alim CE Costi'!E1157,2)</f>
        <v>0</v>
      </c>
      <c r="E505" s="367">
        <f>+ROUND('Alim CE Costi'!H1157,2)</f>
        <v>0</v>
      </c>
      <c r="F505" s="63"/>
      <c r="G505" s="207"/>
      <c r="H505" s="95"/>
    </row>
    <row r="506" spans="1:8" ht="18.75">
      <c r="A506" s="197"/>
      <c r="B506" s="96" t="s">
        <v>1139</v>
      </c>
      <c r="C506" s="97" t="s">
        <v>1725</v>
      </c>
      <c r="D506" s="367">
        <f>+ROUND('Alim CE Costi'!E1159+'Alim CE Costi'!E1160,2)</f>
        <v>0</v>
      </c>
      <c r="E506" s="367">
        <f>+ROUND('Alim CE Costi'!H1159+'Alim CE Costi'!H1160,2)</f>
        <v>0</v>
      </c>
      <c r="F506" s="63"/>
      <c r="G506" s="207"/>
      <c r="H506" s="95"/>
    </row>
    <row r="507" spans="1:8" ht="18.75">
      <c r="A507" s="197"/>
      <c r="B507" s="121" t="s">
        <v>1726</v>
      </c>
      <c r="C507" s="122" t="s">
        <v>1727</v>
      </c>
      <c r="D507" s="364">
        <f t="shared" ref="D507" si="204">SUM(D508:D509)</f>
        <v>0</v>
      </c>
      <c r="E507" s="364">
        <f t="shared" ref="E507" si="205">SUM(E508:E509)</f>
        <v>0</v>
      </c>
      <c r="F507" s="63" t="s">
        <v>1835</v>
      </c>
      <c r="G507" s="207"/>
      <c r="H507" s="95"/>
    </row>
    <row r="508" spans="1:8" ht="18.75">
      <c r="A508" s="197"/>
      <c r="B508" s="96" t="s">
        <v>1141</v>
      </c>
      <c r="C508" s="97" t="s">
        <v>1728</v>
      </c>
      <c r="D508" s="367">
        <f>+ROUND('Alim CE Costi'!E1163,2)</f>
        <v>0</v>
      </c>
      <c r="E508" s="367">
        <f>+ROUND('Alim CE Costi'!H1163,2)</f>
        <v>0</v>
      </c>
      <c r="F508" s="63"/>
      <c r="G508" s="207"/>
      <c r="H508" s="95"/>
    </row>
    <row r="509" spans="1:8" ht="18.75">
      <c r="A509" s="197"/>
      <c r="B509" s="96" t="s">
        <v>1143</v>
      </c>
      <c r="C509" s="97" t="s">
        <v>1729</v>
      </c>
      <c r="D509" s="367">
        <f>+ROUND('Alim CE Costi'!E1165,2)</f>
        <v>0</v>
      </c>
      <c r="E509" s="367">
        <f>+ROUND('Alim CE Costi'!H1165,2)</f>
        <v>0</v>
      </c>
      <c r="F509" s="63"/>
      <c r="G509" s="207"/>
      <c r="H509" s="95"/>
    </row>
    <row r="510" spans="1:8" ht="18.75">
      <c r="A510" s="197"/>
      <c r="B510" s="123" t="s">
        <v>1730</v>
      </c>
      <c r="C510" s="124" t="s">
        <v>1731</v>
      </c>
      <c r="D510" s="370">
        <f t="shared" ref="D510" si="206">+D493+D497-D503-D507</f>
        <v>0.7</v>
      </c>
      <c r="E510" s="370">
        <f t="shared" ref="E510" si="207">+E493+E497-E503-E507</f>
        <v>0</v>
      </c>
      <c r="F510" s="63" t="s">
        <v>1835</v>
      </c>
      <c r="G510" s="207"/>
      <c r="H510" s="95"/>
    </row>
    <row r="511" spans="1:8" ht="18.75">
      <c r="A511" s="197"/>
      <c r="B511" s="131"/>
      <c r="C511" s="132" t="s">
        <v>1732</v>
      </c>
      <c r="D511" s="371"/>
      <c r="E511" s="371"/>
      <c r="F511" s="63"/>
      <c r="G511" s="207"/>
      <c r="H511" s="95"/>
    </row>
    <row r="512" spans="1:8" ht="18.75">
      <c r="A512" s="197"/>
      <c r="B512" s="93" t="s">
        <v>418</v>
      </c>
      <c r="C512" s="94" t="s">
        <v>1733</v>
      </c>
      <c r="D512" s="367">
        <f>+ROUND('Alim CE Ricavi'!E341,2)</f>
        <v>0</v>
      </c>
      <c r="E512" s="367">
        <f>+ROUND('Alim CE Ricavi'!H341,2)</f>
        <v>0</v>
      </c>
      <c r="F512" s="63"/>
      <c r="G512" s="207"/>
      <c r="H512" s="95"/>
    </row>
    <row r="513" spans="1:8" ht="18.75">
      <c r="A513" s="197"/>
      <c r="B513" s="93" t="s">
        <v>1145</v>
      </c>
      <c r="C513" s="94" t="s">
        <v>1734</v>
      </c>
      <c r="D513" s="367">
        <f>+ROUND('Alim CE Costi'!E1168,2)</f>
        <v>0</v>
      </c>
      <c r="E513" s="367">
        <f>+ROUND('Alim CE Costi'!H1168,2)</f>
        <v>0</v>
      </c>
      <c r="F513" s="63"/>
      <c r="G513" s="207"/>
      <c r="H513" s="95"/>
    </row>
    <row r="514" spans="1:8" ht="18.75">
      <c r="A514" s="197"/>
      <c r="B514" s="123" t="s">
        <v>1735</v>
      </c>
      <c r="C514" s="124" t="s">
        <v>1736</v>
      </c>
      <c r="D514" s="370">
        <f t="shared" ref="D514" si="208">+D512-D513</f>
        <v>0</v>
      </c>
      <c r="E514" s="370">
        <f t="shared" ref="E514" si="209">+E512-E513</f>
        <v>0</v>
      </c>
      <c r="F514" s="63" t="s">
        <v>1835</v>
      </c>
      <c r="G514" s="207"/>
      <c r="H514" s="95"/>
    </row>
    <row r="515" spans="1:8" ht="18.75">
      <c r="A515" s="197"/>
      <c r="B515" s="131"/>
      <c r="C515" s="132" t="s">
        <v>1737</v>
      </c>
      <c r="D515" s="371"/>
      <c r="E515" s="371"/>
      <c r="F515" s="63"/>
      <c r="G515" s="207"/>
      <c r="H515" s="95"/>
    </row>
    <row r="516" spans="1:8" ht="18.75">
      <c r="A516" s="197"/>
      <c r="B516" s="121" t="s">
        <v>419</v>
      </c>
      <c r="C516" s="122" t="s">
        <v>1738</v>
      </c>
      <c r="D516" s="364">
        <f t="shared" ref="D516" si="210">+D517+D518</f>
        <v>1280690.4699999997</v>
      </c>
      <c r="E516" s="364">
        <f t="shared" ref="E516" si="211">+E517+E518</f>
        <v>5135791.99</v>
      </c>
      <c r="F516" s="63" t="s">
        <v>1835</v>
      </c>
      <c r="G516" s="207"/>
      <c r="H516" s="95"/>
    </row>
    <row r="517" spans="1:8" ht="18.75">
      <c r="A517" s="197"/>
      <c r="B517" s="96" t="s">
        <v>421</v>
      </c>
      <c r="C517" s="97" t="s">
        <v>1739</v>
      </c>
      <c r="D517" s="367">
        <f>+ROUND('Alim CE Ricavi'!E345,2)</f>
        <v>0</v>
      </c>
      <c r="E517" s="367">
        <f>+ROUND('Alim CE Ricavi'!H345,2)</f>
        <v>0</v>
      </c>
      <c r="F517" s="63"/>
      <c r="G517" s="207"/>
      <c r="H517" s="95"/>
    </row>
    <row r="518" spans="1:8" ht="18.75">
      <c r="A518" s="197"/>
      <c r="B518" s="116" t="s">
        <v>423</v>
      </c>
      <c r="C518" s="117" t="s">
        <v>1740</v>
      </c>
      <c r="D518" s="365">
        <f t="shared" ref="D518" si="212">+D519+D520+D531+D541</f>
        <v>1280690.4699999997</v>
      </c>
      <c r="E518" s="365">
        <f t="shared" ref="E518" si="213">+E519+E520+E531+E541</f>
        <v>5135791.99</v>
      </c>
      <c r="F518" s="63" t="s">
        <v>1835</v>
      </c>
      <c r="G518" s="207"/>
      <c r="H518" s="95"/>
    </row>
    <row r="519" spans="1:8" ht="18.75">
      <c r="A519" s="197"/>
      <c r="B519" s="98" t="s">
        <v>425</v>
      </c>
      <c r="C519" s="99" t="s">
        <v>1741</v>
      </c>
      <c r="D519" s="367">
        <f>+ROUND('Alim CE Ricavi'!E348,2)</f>
        <v>0</v>
      </c>
      <c r="E519" s="367">
        <f>+ROUND('Alim CE Ricavi'!H348,2)</f>
        <v>0</v>
      </c>
      <c r="F519" s="63"/>
      <c r="G519" s="207"/>
      <c r="H519" s="95"/>
    </row>
    <row r="520" spans="1:8" ht="18.75">
      <c r="A520" s="197"/>
      <c r="B520" s="125" t="s">
        <v>426</v>
      </c>
      <c r="C520" s="126" t="s">
        <v>1742</v>
      </c>
      <c r="D520" s="366">
        <f t="shared" ref="D520" si="214">+D521+D522+D523</f>
        <v>1268149.8599999999</v>
      </c>
      <c r="E520" s="366">
        <f t="shared" ref="E520" si="215">+E521+E522+E523</f>
        <v>5113197.5600000005</v>
      </c>
      <c r="F520" s="63" t="s">
        <v>1835</v>
      </c>
      <c r="G520" s="207"/>
      <c r="H520" s="95"/>
    </row>
    <row r="521" spans="1:8" ht="18.75">
      <c r="A521" s="199"/>
      <c r="B521" s="98" t="s">
        <v>428</v>
      </c>
      <c r="C521" s="99" t="s">
        <v>1743</v>
      </c>
      <c r="D521" s="367">
        <f>+ROUND('Alim CE Ricavi'!E351,2)</f>
        <v>0</v>
      </c>
      <c r="E521" s="367">
        <f>+ROUND('Alim CE Ricavi'!H351,2)</f>
        <v>2411121</v>
      </c>
      <c r="F521" s="310"/>
      <c r="G521" s="207"/>
      <c r="H521" s="95"/>
    </row>
    <row r="522" spans="1:8" ht="25.5">
      <c r="A522" s="199" t="s">
        <v>1248</v>
      </c>
      <c r="B522" s="98" t="s">
        <v>430</v>
      </c>
      <c r="C522" s="99" t="s">
        <v>1744</v>
      </c>
      <c r="D522" s="367">
        <f>+ROUND('Alim CE Ricavi'!E353,2)</f>
        <v>0</v>
      </c>
      <c r="E522" s="367">
        <f>+ROUND('Alim CE Ricavi'!H353,2)</f>
        <v>60049.45</v>
      </c>
      <c r="F522" s="310"/>
      <c r="G522" s="207"/>
      <c r="H522" s="95"/>
    </row>
    <row r="523" spans="1:8" ht="18.75">
      <c r="A523" s="199"/>
      <c r="B523" s="129" t="s">
        <v>431</v>
      </c>
      <c r="C523" s="130" t="s">
        <v>1745</v>
      </c>
      <c r="D523" s="368">
        <f t="shared" ref="D523" si="216">SUM(D524:D530)</f>
        <v>1268149.8599999999</v>
      </c>
      <c r="E523" s="368">
        <f t="shared" ref="E523" si="217">SUM(E524:E530)</f>
        <v>2642027.11</v>
      </c>
      <c r="F523" s="63" t="s">
        <v>1835</v>
      </c>
      <c r="G523" s="207"/>
      <c r="H523" s="95"/>
    </row>
    <row r="524" spans="1:8" ht="25.5">
      <c r="A524" s="199" t="s">
        <v>1293</v>
      </c>
      <c r="B524" s="100" t="s">
        <v>433</v>
      </c>
      <c r="C524" s="101" t="s">
        <v>1746</v>
      </c>
      <c r="D524" s="367">
        <f>+ROUND('Alim CE Ricavi'!E356,2)</f>
        <v>0</v>
      </c>
      <c r="E524" s="367">
        <f>+ROUND('Alim CE Ricavi'!H356,2)</f>
        <v>0</v>
      </c>
      <c r="F524" s="310"/>
      <c r="G524" s="207"/>
      <c r="H524" s="95"/>
    </row>
    <row r="525" spans="1:8" ht="25.5">
      <c r="A525" s="199"/>
      <c r="B525" s="100" t="s">
        <v>435</v>
      </c>
      <c r="C525" s="101" t="s">
        <v>1747</v>
      </c>
      <c r="D525" s="367">
        <f>+ROUND('Alim CE Ricavi'!E358,2)</f>
        <v>13699.49</v>
      </c>
      <c r="E525" s="367">
        <f>+ROUND('Alim CE Ricavi'!H358,2)</f>
        <v>3093.92</v>
      </c>
      <c r="F525" s="310"/>
      <c r="G525" s="207"/>
      <c r="H525" s="95"/>
    </row>
    <row r="526" spans="1:8" ht="25.5">
      <c r="A526" s="199"/>
      <c r="B526" s="100" t="s">
        <v>437</v>
      </c>
      <c r="C526" s="101" t="s">
        <v>1748</v>
      </c>
      <c r="D526" s="367">
        <f>+ROUND('Alim CE Ricavi'!E360,2)</f>
        <v>0</v>
      </c>
      <c r="E526" s="367">
        <f>+ROUND('Alim CE Ricavi'!H360,2)</f>
        <v>0</v>
      </c>
      <c r="F526" s="310"/>
      <c r="G526" s="207"/>
      <c r="H526" s="95"/>
    </row>
    <row r="527" spans="1:8" ht="25.5">
      <c r="A527" s="199"/>
      <c r="B527" s="100" t="s">
        <v>439</v>
      </c>
      <c r="C527" s="101" t="s">
        <v>1749</v>
      </c>
      <c r="D527" s="367">
        <f>+ROUND('Alim CE Ricavi'!E362,2)</f>
        <v>0</v>
      </c>
      <c r="E527" s="367">
        <f>+ROUND('Alim CE Ricavi'!H362,2)</f>
        <v>0</v>
      </c>
      <c r="F527" s="310"/>
      <c r="G527" s="207"/>
      <c r="H527" s="95"/>
    </row>
    <row r="528" spans="1:8" ht="25.5">
      <c r="A528" s="199"/>
      <c r="B528" s="100" t="s">
        <v>441</v>
      </c>
      <c r="C528" s="101" t="s">
        <v>1750</v>
      </c>
      <c r="D528" s="367">
        <f>+ROUND('Alim CE Ricavi'!E364,2)</f>
        <v>0</v>
      </c>
      <c r="E528" s="367">
        <f>+ROUND('Alim CE Ricavi'!H364,2)</f>
        <v>0</v>
      </c>
      <c r="F528" s="310"/>
      <c r="G528" s="207"/>
      <c r="H528" s="95"/>
    </row>
    <row r="529" spans="1:8" ht="25.5">
      <c r="A529" s="199"/>
      <c r="B529" s="100" t="s">
        <v>443</v>
      </c>
      <c r="C529" s="101" t="s">
        <v>1751</v>
      </c>
      <c r="D529" s="367">
        <f>+ROUND('Alim CE Ricavi'!E366,2)</f>
        <v>3.41</v>
      </c>
      <c r="E529" s="367">
        <f>+ROUND('Alim CE Ricavi'!H366,2)</f>
        <v>321.62</v>
      </c>
      <c r="F529" s="310"/>
      <c r="G529" s="207"/>
      <c r="H529" s="95"/>
    </row>
    <row r="530" spans="1:8" ht="18.75">
      <c r="A530" s="199"/>
      <c r="B530" s="100" t="s">
        <v>445</v>
      </c>
      <c r="C530" s="101" t="s">
        <v>1752</v>
      </c>
      <c r="D530" s="367">
        <f>+ROUND('Alim CE Ricavi'!E368,2)</f>
        <v>1254446.96</v>
      </c>
      <c r="E530" s="367">
        <f>+ROUND('Alim CE Ricavi'!H368,2)</f>
        <v>2638611.5699999998</v>
      </c>
      <c r="F530" s="310"/>
      <c r="G530" s="207"/>
      <c r="H530" s="95"/>
    </row>
    <row r="531" spans="1:8" ht="18.75">
      <c r="A531" s="199"/>
      <c r="B531" s="125" t="s">
        <v>1753</v>
      </c>
      <c r="C531" s="126" t="s">
        <v>1754</v>
      </c>
      <c r="D531" s="366">
        <f t="shared" ref="D531" si="218">+D532+D533</f>
        <v>12523.88</v>
      </c>
      <c r="E531" s="366">
        <f t="shared" ref="E531" si="219">+E532+E533</f>
        <v>22179.18</v>
      </c>
      <c r="F531" s="63" t="s">
        <v>1835</v>
      </c>
      <c r="G531" s="207"/>
      <c r="H531" s="95"/>
    </row>
    <row r="532" spans="1:8" ht="25.5">
      <c r="A532" s="197" t="s">
        <v>1248</v>
      </c>
      <c r="B532" s="98" t="s">
        <v>447</v>
      </c>
      <c r="C532" s="99" t="s">
        <v>1755</v>
      </c>
      <c r="D532" s="367">
        <f>+ROUND('Alim CE Ricavi'!E371,2)</f>
        <v>168</v>
      </c>
      <c r="E532" s="367">
        <f>+ROUND('Alim CE Ricavi'!H371,2)</f>
        <v>0</v>
      </c>
      <c r="F532" s="63"/>
      <c r="G532" s="207"/>
      <c r="H532" s="95"/>
    </row>
    <row r="533" spans="1:8" ht="18.75">
      <c r="A533" s="197"/>
      <c r="B533" s="129" t="s">
        <v>1756</v>
      </c>
      <c r="C533" s="130" t="s">
        <v>1757</v>
      </c>
      <c r="D533" s="368">
        <f t="shared" ref="D533" si="220">SUM(D534:D540)</f>
        <v>12355.88</v>
      </c>
      <c r="E533" s="368">
        <f t="shared" ref="E533" si="221">SUM(E534:E540)</f>
        <v>22179.18</v>
      </c>
      <c r="F533" s="63" t="s">
        <v>1835</v>
      </c>
      <c r="G533" s="207"/>
      <c r="H533" s="95"/>
    </row>
    <row r="534" spans="1:8" ht="25.5">
      <c r="A534" s="197" t="s">
        <v>1293</v>
      </c>
      <c r="B534" s="100" t="s">
        <v>449</v>
      </c>
      <c r="C534" s="101" t="s">
        <v>1758</v>
      </c>
      <c r="D534" s="367">
        <f>+ROUND('Alim CE Ricavi'!E374,2)</f>
        <v>0</v>
      </c>
      <c r="E534" s="367">
        <f>+ROUND('Alim CE Ricavi'!H374,2)</f>
        <v>0</v>
      </c>
      <c r="F534" s="63"/>
      <c r="G534" s="207"/>
      <c r="H534" s="95"/>
    </row>
    <row r="535" spans="1:8" ht="18.75">
      <c r="A535" s="197"/>
      <c r="B535" s="100" t="s">
        <v>451</v>
      </c>
      <c r="C535" s="101" t="s">
        <v>1759</v>
      </c>
      <c r="D535" s="367">
        <f>+ROUND('Alim CE Ricavi'!E376,2)</f>
        <v>0</v>
      </c>
      <c r="E535" s="367">
        <f>+ROUND('Alim CE Ricavi'!H376,2)</f>
        <v>0</v>
      </c>
      <c r="F535" s="63"/>
      <c r="G535" s="207"/>
      <c r="H535" s="95"/>
    </row>
    <row r="536" spans="1:8" ht="25.5">
      <c r="A536" s="197"/>
      <c r="B536" s="100" t="s">
        <v>453</v>
      </c>
      <c r="C536" s="101" t="s">
        <v>1760</v>
      </c>
      <c r="D536" s="367">
        <f>+ROUND('Alim CE Ricavi'!E378,2)</f>
        <v>0</v>
      </c>
      <c r="E536" s="367">
        <f>+ROUND('Alim CE Ricavi'!H378,2)</f>
        <v>0</v>
      </c>
      <c r="F536" s="63"/>
      <c r="G536" s="207"/>
      <c r="H536" s="95"/>
    </row>
    <row r="537" spans="1:8" ht="25.5">
      <c r="A537" s="197"/>
      <c r="B537" s="100" t="s">
        <v>455</v>
      </c>
      <c r="C537" s="101" t="s">
        <v>1761</v>
      </c>
      <c r="D537" s="367">
        <f>+ROUND('Alim CE Ricavi'!E380,2)</f>
        <v>0</v>
      </c>
      <c r="E537" s="367">
        <f>+ROUND('Alim CE Ricavi'!H380,2)</f>
        <v>0</v>
      </c>
      <c r="F537" s="63"/>
      <c r="G537" s="207"/>
      <c r="H537" s="95"/>
    </row>
    <row r="538" spans="1:8" ht="25.5">
      <c r="A538" s="197"/>
      <c r="B538" s="100" t="s">
        <v>457</v>
      </c>
      <c r="C538" s="101" t="s">
        <v>1762</v>
      </c>
      <c r="D538" s="367">
        <f>+ROUND('Alim CE Ricavi'!E382,2)</f>
        <v>0</v>
      </c>
      <c r="E538" s="367">
        <f>+ROUND('Alim CE Ricavi'!H382,2)</f>
        <v>0</v>
      </c>
      <c r="F538" s="63"/>
      <c r="G538" s="207"/>
      <c r="H538" s="95"/>
    </row>
    <row r="539" spans="1:8" ht="25.5">
      <c r="A539" s="197"/>
      <c r="B539" s="100" t="s">
        <v>459</v>
      </c>
      <c r="C539" s="101" t="s">
        <v>1763</v>
      </c>
      <c r="D539" s="367">
        <f>+ROUND('Alim CE Ricavi'!E384,2)</f>
        <v>0</v>
      </c>
      <c r="E539" s="367">
        <f>+ROUND('Alim CE Ricavi'!H384,2)</f>
        <v>0</v>
      </c>
      <c r="F539" s="63"/>
      <c r="G539" s="207"/>
      <c r="H539" s="95"/>
    </row>
    <row r="540" spans="1:8" ht="18.75">
      <c r="A540" s="197"/>
      <c r="B540" s="100" t="s">
        <v>461</v>
      </c>
      <c r="C540" s="101" t="s">
        <v>1764</v>
      </c>
      <c r="D540" s="367">
        <f>+ROUND('Alim CE Ricavi'!E386,2)</f>
        <v>12355.88</v>
      </c>
      <c r="E540" s="367">
        <f>+ROUND('Alim CE Ricavi'!H386,2)</f>
        <v>22179.18</v>
      </c>
      <c r="F540" s="63"/>
      <c r="G540" s="207"/>
      <c r="H540" s="95"/>
    </row>
    <row r="541" spans="1:8" ht="18.75">
      <c r="A541" s="197"/>
      <c r="B541" s="98" t="s">
        <v>462</v>
      </c>
      <c r="C541" s="99" t="s">
        <v>1765</v>
      </c>
      <c r="D541" s="367">
        <f>+ROUND('Alim CE Ricavi'!E388,2)</f>
        <v>16.73</v>
      </c>
      <c r="E541" s="367">
        <f>+ROUND('Alim CE Ricavi'!H388,2)</f>
        <v>415.25</v>
      </c>
      <c r="F541" s="63"/>
      <c r="G541" s="207"/>
      <c r="H541" s="95"/>
    </row>
    <row r="542" spans="1:8" ht="18.75">
      <c r="A542" s="197"/>
      <c r="B542" s="121" t="s">
        <v>1146</v>
      </c>
      <c r="C542" s="122" t="s">
        <v>1766</v>
      </c>
      <c r="D542" s="364">
        <f t="shared" ref="D542" si="222">+D543+D544</f>
        <v>7311194.0099999998</v>
      </c>
      <c r="E542" s="364">
        <f t="shared" ref="E542" si="223">+E543+E544</f>
        <v>181511.41999999998</v>
      </c>
      <c r="F542" s="63"/>
      <c r="G542" s="207"/>
      <c r="H542" s="95"/>
    </row>
    <row r="543" spans="1:8" ht="18.75">
      <c r="A543" s="197"/>
      <c r="B543" s="96" t="s">
        <v>1148</v>
      </c>
      <c r="C543" s="97" t="s">
        <v>1767</v>
      </c>
      <c r="D543" s="367">
        <f>+ROUND('Alim CE Costi'!E1172,2)</f>
        <v>405.65</v>
      </c>
      <c r="E543" s="367">
        <f>+ROUND('Alim CE Costi'!H1172,2)</f>
        <v>0</v>
      </c>
      <c r="F543" s="63"/>
      <c r="G543" s="207"/>
      <c r="H543" s="95"/>
    </row>
    <row r="544" spans="1:8" ht="18.75">
      <c r="A544" s="197"/>
      <c r="B544" s="116" t="s">
        <v>1150</v>
      </c>
      <c r="C544" s="117" t="s">
        <v>1768</v>
      </c>
      <c r="D544" s="365">
        <f t="shared" ref="D544" si="224">+D545+D546+D547+D562+D573</f>
        <v>7310788.3599999994</v>
      </c>
      <c r="E544" s="365">
        <f t="shared" ref="E544" si="225">+E545+E546+E547+E562+E573</f>
        <v>181511.41999999998</v>
      </c>
      <c r="F544" s="63"/>
      <c r="G544" s="207"/>
      <c r="H544" s="95"/>
    </row>
    <row r="545" spans="1:8" ht="18.75">
      <c r="A545" s="197"/>
      <c r="B545" s="98" t="s">
        <v>1152</v>
      </c>
      <c r="C545" s="99" t="s">
        <v>1769</v>
      </c>
      <c r="D545" s="367">
        <f>+ROUND('Alim CE Costi'!E1175,2)</f>
        <v>0</v>
      </c>
      <c r="E545" s="367">
        <f>+ROUND('Alim CE Costi'!H1175,2)</f>
        <v>0</v>
      </c>
      <c r="F545" s="63"/>
      <c r="G545" s="207"/>
      <c r="H545" s="95"/>
    </row>
    <row r="546" spans="1:8" ht="18.75">
      <c r="A546" s="197"/>
      <c r="B546" s="98" t="s">
        <v>1154</v>
      </c>
      <c r="C546" s="99" t="s">
        <v>1770</v>
      </c>
      <c r="D546" s="367">
        <f>+ROUND('Alim CE Costi'!E1177,2)</f>
        <v>0</v>
      </c>
      <c r="E546" s="367">
        <f>+ROUND('Alim CE Costi'!H1177,2)</f>
        <v>0</v>
      </c>
      <c r="F546" s="63"/>
      <c r="G546" s="207"/>
      <c r="H546" s="95"/>
    </row>
    <row r="547" spans="1:8" ht="18.75">
      <c r="A547" s="197"/>
      <c r="B547" s="125" t="s">
        <v>1155</v>
      </c>
      <c r="C547" s="126" t="s">
        <v>1771</v>
      </c>
      <c r="D547" s="366">
        <f t="shared" ref="D547" si="226">+D548+D551</f>
        <v>7131224.96</v>
      </c>
      <c r="E547" s="366">
        <f t="shared" ref="E547" si="227">+E548+E551</f>
        <v>160363.38</v>
      </c>
      <c r="F547" s="63"/>
      <c r="G547" s="207"/>
      <c r="H547" s="95"/>
    </row>
    <row r="548" spans="1:8" ht="25.5">
      <c r="A548" s="197" t="s">
        <v>1248</v>
      </c>
      <c r="B548" s="129" t="s">
        <v>1156</v>
      </c>
      <c r="C548" s="130" t="s">
        <v>1772</v>
      </c>
      <c r="D548" s="368">
        <f t="shared" ref="D548" si="228">+D549+D550</f>
        <v>7001035.6100000003</v>
      </c>
      <c r="E548" s="368">
        <f t="shared" ref="E548" si="229">+E549+E550</f>
        <v>114209.15</v>
      </c>
      <c r="F548" s="63"/>
      <c r="G548" s="207"/>
      <c r="H548" s="95"/>
    </row>
    <row r="549" spans="1:8" ht="25.5">
      <c r="A549" s="197" t="s">
        <v>1248</v>
      </c>
      <c r="B549" s="100" t="s">
        <v>1158</v>
      </c>
      <c r="C549" s="101" t="s">
        <v>1773</v>
      </c>
      <c r="D549" s="367">
        <f>+ROUND('Alim CE Costi'!E1181,2)</f>
        <v>0</v>
      </c>
      <c r="E549" s="367">
        <f>+ROUND('Alim CE Costi'!H1181,2)</f>
        <v>0</v>
      </c>
      <c r="F549" s="63"/>
      <c r="G549" s="207"/>
      <c r="H549" s="95"/>
    </row>
    <row r="550" spans="1:8" ht="25.5">
      <c r="A550" s="197" t="s">
        <v>1248</v>
      </c>
      <c r="B550" s="100" t="s">
        <v>1160</v>
      </c>
      <c r="C550" s="101" t="s">
        <v>1774</v>
      </c>
      <c r="D550" s="367">
        <f>+ROUND('Alim CE Costi'!E1183,2)</f>
        <v>7001035.6100000003</v>
      </c>
      <c r="E550" s="367">
        <f>+ROUND('Alim CE Costi'!H1183,2)</f>
        <v>114209.15</v>
      </c>
      <c r="F550" s="63"/>
      <c r="G550" s="207"/>
      <c r="H550" s="95"/>
    </row>
    <row r="551" spans="1:8" ht="18.75">
      <c r="A551" s="197"/>
      <c r="B551" s="129" t="s">
        <v>1161</v>
      </c>
      <c r="C551" s="130" t="s">
        <v>1775</v>
      </c>
      <c r="D551" s="368">
        <f t="shared" ref="D551" si="230">+D552+D553+D557+D558+D559+D560+D561</f>
        <v>130189.34999999999</v>
      </c>
      <c r="E551" s="368">
        <f t="shared" ref="E551" si="231">+E552+E553+E557+E558+E559+E560+E561</f>
        <v>46154.229999999996</v>
      </c>
      <c r="F551" s="63"/>
      <c r="G551" s="207"/>
      <c r="H551" s="95"/>
    </row>
    <row r="552" spans="1:8" ht="25.5">
      <c r="A552" s="197" t="s">
        <v>1293</v>
      </c>
      <c r="B552" s="100" t="s">
        <v>1163</v>
      </c>
      <c r="C552" s="101" t="s">
        <v>1776</v>
      </c>
      <c r="D552" s="367">
        <f>+ROUND('Alim CE Costi'!E1186,2)</f>
        <v>0</v>
      </c>
      <c r="E552" s="367">
        <f>+ROUND('Alim CE Costi'!H1186,2)</f>
        <v>0</v>
      </c>
      <c r="F552" s="63"/>
      <c r="G552" s="207"/>
      <c r="H552" s="95"/>
    </row>
    <row r="553" spans="1:8" ht="25.5">
      <c r="A553" s="197"/>
      <c r="B553" s="140" t="s">
        <v>1164</v>
      </c>
      <c r="C553" s="141" t="s">
        <v>1777</v>
      </c>
      <c r="D553" s="375">
        <f t="shared" ref="D553" si="232">+D554+D555+D556</f>
        <v>47157.88</v>
      </c>
      <c r="E553" s="375">
        <f t="shared" ref="E553" si="233">+E554+E555+E556</f>
        <v>0</v>
      </c>
      <c r="F553" s="63"/>
      <c r="G553" s="207"/>
      <c r="H553" s="95"/>
    </row>
    <row r="554" spans="1:8" ht="25.5">
      <c r="A554" s="197"/>
      <c r="B554" s="98" t="s">
        <v>1166</v>
      </c>
      <c r="C554" s="99" t="s">
        <v>1778</v>
      </c>
      <c r="D554" s="367">
        <f>+ROUND('Alim CE Costi'!E1189,2)</f>
        <v>0</v>
      </c>
      <c r="E554" s="367">
        <f>+ROUND('Alim CE Costi'!H1189,2)</f>
        <v>0</v>
      </c>
      <c r="F554" s="63"/>
      <c r="G554" s="207"/>
      <c r="H554" s="95"/>
    </row>
    <row r="555" spans="1:8" ht="25.5">
      <c r="A555" s="197"/>
      <c r="B555" s="98" t="s">
        <v>1168</v>
      </c>
      <c r="C555" s="99" t="s">
        <v>1779</v>
      </c>
      <c r="D555" s="367">
        <f>+ROUND('Alim CE Costi'!E1191,2)</f>
        <v>0</v>
      </c>
      <c r="E555" s="367">
        <f>+ROUND('Alim CE Costi'!H1191,2)</f>
        <v>0</v>
      </c>
      <c r="F555" s="63"/>
      <c r="G555" s="207"/>
      <c r="H555" s="95"/>
    </row>
    <row r="556" spans="1:8" ht="25.5">
      <c r="A556" s="197"/>
      <c r="B556" s="98" t="s">
        <v>1170</v>
      </c>
      <c r="C556" s="99" t="s">
        <v>1780</v>
      </c>
      <c r="D556" s="367">
        <f>+ROUND('Alim CE Costi'!E1193,2)</f>
        <v>47157.88</v>
      </c>
      <c r="E556" s="367">
        <f>+ROUND('Alim CE Costi'!H1193,2)</f>
        <v>0</v>
      </c>
      <c r="F556" s="63"/>
      <c r="G556" s="207"/>
      <c r="H556" s="95"/>
    </row>
    <row r="557" spans="1:8" ht="25.5">
      <c r="A557" s="197"/>
      <c r="B557" s="100" t="s">
        <v>1172</v>
      </c>
      <c r="C557" s="101" t="s">
        <v>1781</v>
      </c>
      <c r="D557" s="367">
        <f>+ROUND('Alim CE Costi'!E1195,2)</f>
        <v>0</v>
      </c>
      <c r="E557" s="367">
        <f>+ROUND('Alim CE Costi'!H1195,2)</f>
        <v>0</v>
      </c>
      <c r="F557" s="63"/>
      <c r="G557" s="207"/>
      <c r="H557" s="95"/>
    </row>
    <row r="558" spans="1:8" ht="25.5">
      <c r="A558" s="197"/>
      <c r="B558" s="100" t="s">
        <v>1174</v>
      </c>
      <c r="C558" s="101" t="s">
        <v>1782</v>
      </c>
      <c r="D558" s="367">
        <f>+ROUND('Alim CE Costi'!E1197,2)</f>
        <v>0</v>
      </c>
      <c r="E558" s="367">
        <f>+ROUND('Alim CE Costi'!H1197,2)</f>
        <v>0</v>
      </c>
      <c r="F558" s="63"/>
      <c r="G558" s="207"/>
      <c r="H558" s="95"/>
    </row>
    <row r="559" spans="1:8" ht="25.5">
      <c r="A559" s="197"/>
      <c r="B559" s="100" t="s">
        <v>1176</v>
      </c>
      <c r="C559" s="101" t="s">
        <v>1783</v>
      </c>
      <c r="D559" s="367">
        <f>+ROUND('Alim CE Costi'!E1199,2)</f>
        <v>0</v>
      </c>
      <c r="E559" s="367">
        <f>+ROUND('Alim CE Costi'!H1199,2)</f>
        <v>0</v>
      </c>
      <c r="F559" s="63"/>
      <c r="G559" s="207"/>
      <c r="H559" s="95"/>
    </row>
    <row r="560" spans="1:8" ht="25.5">
      <c r="A560" s="197"/>
      <c r="B560" s="100" t="s">
        <v>1178</v>
      </c>
      <c r="C560" s="101" t="s">
        <v>1784</v>
      </c>
      <c r="D560" s="367">
        <f>+ROUND('Alim CE Costi'!E1201,2)</f>
        <v>3974.07</v>
      </c>
      <c r="E560" s="367">
        <f>+ROUND('Alim CE Costi'!H1201,2)</f>
        <v>2180.34</v>
      </c>
      <c r="F560" s="63"/>
      <c r="G560" s="207"/>
      <c r="H560" s="95"/>
    </row>
    <row r="561" spans="1:8" ht="18.75">
      <c r="A561" s="197"/>
      <c r="B561" s="100" t="s">
        <v>1180</v>
      </c>
      <c r="C561" s="101" t="s">
        <v>1785</v>
      </c>
      <c r="D561" s="367">
        <f>+ROUND('Alim CE Costi'!E1203,2)</f>
        <v>79057.399999999994</v>
      </c>
      <c r="E561" s="367">
        <f>+ROUND('Alim CE Costi'!H1203,2)</f>
        <v>43973.89</v>
      </c>
      <c r="F561" s="63"/>
      <c r="G561" s="207"/>
      <c r="H561" s="95"/>
    </row>
    <row r="562" spans="1:8" ht="18.75">
      <c r="A562" s="197"/>
      <c r="B562" s="125" t="s">
        <v>1181</v>
      </c>
      <c r="C562" s="126" t="s">
        <v>1786</v>
      </c>
      <c r="D562" s="366">
        <f t="shared" ref="D562" si="234">+D563+D564+D565</f>
        <v>179504.27</v>
      </c>
      <c r="E562" s="366">
        <f t="shared" ref="E562" si="235">+E563+E564+E565</f>
        <v>11786.15</v>
      </c>
      <c r="F562" s="63"/>
      <c r="G562" s="207"/>
      <c r="H562" s="95"/>
    </row>
    <row r="563" spans="1:8" ht="18.75">
      <c r="A563" s="199"/>
      <c r="B563" s="98" t="s">
        <v>1183</v>
      </c>
      <c r="C563" s="99" t="s">
        <v>1787</v>
      </c>
      <c r="D563" s="367">
        <f>+ROUND('Alim CE Costi'!E1206,2)</f>
        <v>178072.75</v>
      </c>
      <c r="E563" s="367">
        <f>+ROUND('Alim CE Costi'!H1206,2)</f>
        <v>0</v>
      </c>
      <c r="F563" s="310"/>
      <c r="G563" s="207"/>
      <c r="H563" s="95"/>
    </row>
    <row r="564" spans="1:8" ht="25.5">
      <c r="A564" s="199" t="s">
        <v>1248</v>
      </c>
      <c r="B564" s="98" t="s">
        <v>1185</v>
      </c>
      <c r="C564" s="99" t="s">
        <v>1788</v>
      </c>
      <c r="D564" s="367">
        <f>+ROUND('Alim CE Costi'!E1208,2)</f>
        <v>0</v>
      </c>
      <c r="E564" s="367">
        <f>+ROUND('Alim CE Costi'!H1208,2)</f>
        <v>130.63999999999999</v>
      </c>
      <c r="F564" s="310"/>
      <c r="G564" s="207"/>
      <c r="H564" s="95"/>
    </row>
    <row r="565" spans="1:8" ht="18.75">
      <c r="A565" s="199"/>
      <c r="B565" s="129" t="s">
        <v>1186</v>
      </c>
      <c r="C565" s="130" t="s">
        <v>1789</v>
      </c>
      <c r="D565" s="368">
        <f t="shared" ref="D565" si="236">SUM(D566:D572)</f>
        <v>1431.52</v>
      </c>
      <c r="E565" s="368">
        <f t="shared" ref="E565" si="237">SUM(E566:E572)</f>
        <v>11655.51</v>
      </c>
      <c r="F565" s="63"/>
      <c r="G565" s="207"/>
      <c r="H565" s="95"/>
    </row>
    <row r="566" spans="1:8" ht="25.5">
      <c r="A566" s="199" t="s">
        <v>1293</v>
      </c>
      <c r="B566" s="100" t="s">
        <v>1188</v>
      </c>
      <c r="C566" s="101" t="s">
        <v>1790</v>
      </c>
      <c r="D566" s="367">
        <f>+ROUND('Alim CE Costi'!E1211,2)</f>
        <v>0</v>
      </c>
      <c r="E566" s="367">
        <f>+ROUND('Alim CE Costi'!H1211,2)</f>
        <v>0</v>
      </c>
      <c r="F566" s="310"/>
      <c r="G566" s="207"/>
      <c r="H566" s="95"/>
    </row>
    <row r="567" spans="1:8" ht="25.5">
      <c r="A567" s="199"/>
      <c r="B567" s="100" t="s">
        <v>1190</v>
      </c>
      <c r="C567" s="101" t="s">
        <v>1791</v>
      </c>
      <c r="D567" s="367">
        <f>+ROUND('Alim CE Costi'!E1213,2)</f>
        <v>0</v>
      </c>
      <c r="E567" s="367">
        <f>+ROUND('Alim CE Costi'!H1213,2)</f>
        <v>0</v>
      </c>
      <c r="F567" s="310"/>
      <c r="G567" s="207"/>
      <c r="H567" s="95"/>
    </row>
    <row r="568" spans="1:8" ht="25.5">
      <c r="A568" s="199"/>
      <c r="B568" s="100" t="s">
        <v>1192</v>
      </c>
      <c r="C568" s="101" t="s">
        <v>1792</v>
      </c>
      <c r="D568" s="367">
        <f>+ROUND('Alim CE Costi'!E1215,2)</f>
        <v>0</v>
      </c>
      <c r="E568" s="367">
        <f>+ROUND('Alim CE Costi'!H1215,2)</f>
        <v>0</v>
      </c>
      <c r="F568" s="310"/>
      <c r="G568" s="207"/>
      <c r="H568" s="95"/>
    </row>
    <row r="569" spans="1:8" ht="25.5">
      <c r="A569" s="199"/>
      <c r="B569" s="100" t="s">
        <v>1194</v>
      </c>
      <c r="C569" s="101" t="s">
        <v>1793</v>
      </c>
      <c r="D569" s="367">
        <f>+ROUND('Alim CE Costi'!E1217,2)</f>
        <v>0</v>
      </c>
      <c r="E569" s="367">
        <f>+ROUND('Alim CE Costi'!H1217,2)</f>
        <v>0</v>
      </c>
      <c r="F569" s="310"/>
      <c r="G569" s="207"/>
      <c r="H569" s="95"/>
    </row>
    <row r="570" spans="1:8" ht="25.5">
      <c r="A570" s="199"/>
      <c r="B570" s="100" t="s">
        <v>1196</v>
      </c>
      <c r="C570" s="101" t="s">
        <v>1794</v>
      </c>
      <c r="D570" s="367">
        <f>+ROUND('Alim CE Costi'!E1219,2)</f>
        <v>0</v>
      </c>
      <c r="E570" s="367">
        <f>+ROUND('Alim CE Costi'!H1219,2)</f>
        <v>0</v>
      </c>
      <c r="F570" s="310"/>
      <c r="G570" s="207"/>
      <c r="H570" s="95"/>
    </row>
    <row r="571" spans="1:8" ht="25.5">
      <c r="A571" s="199"/>
      <c r="B571" s="100" t="s">
        <v>1198</v>
      </c>
      <c r="C571" s="101" t="s">
        <v>1795</v>
      </c>
      <c r="D571" s="367">
        <f>+ROUND('Alim CE Costi'!E1221,2)</f>
        <v>683.68</v>
      </c>
      <c r="E571" s="367">
        <f>+ROUND('Alim CE Costi'!H1221,2)</f>
        <v>0</v>
      </c>
      <c r="F571" s="310"/>
      <c r="G571" s="207"/>
      <c r="H571" s="95"/>
    </row>
    <row r="572" spans="1:8" ht="18.75">
      <c r="A572" s="199"/>
      <c r="B572" s="100" t="s">
        <v>1200</v>
      </c>
      <c r="C572" s="101" t="s">
        <v>1796</v>
      </c>
      <c r="D572" s="367">
        <f>+ROUND('Alim CE Costi'!E1223,2)</f>
        <v>747.84</v>
      </c>
      <c r="E572" s="367">
        <f>+ROUND('Alim CE Costi'!H1223,2)</f>
        <v>11655.51</v>
      </c>
      <c r="F572" s="310"/>
      <c r="G572" s="207"/>
      <c r="H572" s="95"/>
    </row>
    <row r="573" spans="1:8" ht="18.75">
      <c r="A573" s="197"/>
      <c r="B573" s="98" t="s">
        <v>1201</v>
      </c>
      <c r="C573" s="99" t="s">
        <v>1797</v>
      </c>
      <c r="D573" s="367">
        <f>+ROUND('Alim CE Costi'!E1225,2)</f>
        <v>59.13</v>
      </c>
      <c r="E573" s="367">
        <f>+ROUND('Alim CE Costi'!H1225,2)</f>
        <v>9361.89</v>
      </c>
      <c r="F573" s="63"/>
      <c r="G573" s="207"/>
      <c r="H573" s="108"/>
    </row>
    <row r="574" spans="1:8" ht="18.75">
      <c r="A574" s="197"/>
      <c r="B574" s="123" t="s">
        <v>1798</v>
      </c>
      <c r="C574" s="124" t="s">
        <v>1799</v>
      </c>
      <c r="D574" s="370">
        <f t="shared" ref="D574" si="238">+D516-D542</f>
        <v>-6030503.54</v>
      </c>
      <c r="E574" s="370">
        <f t="shared" ref="E574" si="239">+E516-E542</f>
        <v>4954280.57</v>
      </c>
      <c r="F574" s="63"/>
      <c r="G574" s="207"/>
      <c r="H574" s="108"/>
    </row>
    <row r="575" spans="1:8" ht="25.5">
      <c r="A575" s="197"/>
      <c r="B575" s="93" t="s">
        <v>1800</v>
      </c>
      <c r="C575" s="94" t="s">
        <v>1801</v>
      </c>
      <c r="D575" s="367">
        <f>+D158-D491+D510+D514+D574</f>
        <v>2134310.3900000192</v>
      </c>
      <c r="E575" s="367">
        <f>+E158-E491+E510+E514+E574</f>
        <v>3986411.5399999097</v>
      </c>
      <c r="F575" s="63"/>
      <c r="G575" s="207"/>
      <c r="H575" s="108"/>
    </row>
    <row r="576" spans="1:8" ht="18.75">
      <c r="A576" s="199"/>
      <c r="B576" s="131"/>
      <c r="C576" s="132" t="s">
        <v>1802</v>
      </c>
      <c r="D576" s="371"/>
      <c r="E576" s="371"/>
      <c r="F576" s="310"/>
      <c r="G576" s="207"/>
      <c r="H576" s="109"/>
    </row>
    <row r="577" spans="1:19" ht="18.75">
      <c r="A577" s="197"/>
      <c r="B577" s="121" t="s">
        <v>1202</v>
      </c>
      <c r="C577" s="122" t="s">
        <v>1803</v>
      </c>
      <c r="D577" s="364">
        <f t="shared" ref="D577" si="240">+D578+D579+D580+D581</f>
        <v>1008498.73</v>
      </c>
      <c r="E577" s="364">
        <f t="shared" ref="E577" si="241">+E578+E579+E580+E581</f>
        <v>944993.24</v>
      </c>
      <c r="F577" s="63"/>
      <c r="G577" s="207"/>
      <c r="H577" s="110"/>
    </row>
    <row r="578" spans="1:19" ht="18.75">
      <c r="A578" s="197"/>
      <c r="B578" s="96" t="s">
        <v>1204</v>
      </c>
      <c r="C578" s="97" t="s">
        <v>1804</v>
      </c>
      <c r="D578" s="367">
        <f>+ROUND('Alim CE Costi'!E1229,2)</f>
        <v>826376.67</v>
      </c>
      <c r="E578" s="367">
        <f>+ROUND('Alim CE Costi'!H1229,2)</f>
        <v>710792.57</v>
      </c>
      <c r="F578" s="63"/>
      <c r="G578" s="207"/>
      <c r="H578" s="109"/>
    </row>
    <row r="579" spans="1:19" ht="25.5">
      <c r="A579" s="197"/>
      <c r="B579" s="96" t="s">
        <v>1206</v>
      </c>
      <c r="C579" s="97" t="s">
        <v>1805</v>
      </c>
      <c r="D579" s="367">
        <f>+ROUND('Alim CE Costi'!E1231,2)</f>
        <v>182122.06</v>
      </c>
      <c r="E579" s="367">
        <f>+ROUND('Alim CE Costi'!H1231,2)</f>
        <v>234200.67</v>
      </c>
      <c r="F579" s="63"/>
      <c r="G579" s="207"/>
      <c r="H579" s="108"/>
    </row>
    <row r="580" spans="1:19" ht="25.5">
      <c r="A580" s="197"/>
      <c r="B580" s="96" t="s">
        <v>1208</v>
      </c>
      <c r="C580" s="97" t="s">
        <v>1806</v>
      </c>
      <c r="D580" s="367">
        <f>+ROUND('Alim CE Costi'!E1233,2)</f>
        <v>0</v>
      </c>
      <c r="E580" s="367">
        <f>+ROUND('Alim CE Costi'!H1233,2)</f>
        <v>0</v>
      </c>
      <c r="F580" s="63"/>
      <c r="G580" s="207"/>
      <c r="H580" s="109"/>
    </row>
    <row r="581" spans="1:19" ht="18.75">
      <c r="A581" s="197"/>
      <c r="B581" s="96" t="s">
        <v>1210</v>
      </c>
      <c r="C581" s="97" t="s">
        <v>1807</v>
      </c>
      <c r="D581" s="367">
        <f>+ROUND('Alim CE Costi'!E1235,2)</f>
        <v>0</v>
      </c>
      <c r="E581" s="367">
        <f>+ROUND('Alim CE Costi'!H1235,2)</f>
        <v>0</v>
      </c>
      <c r="F581" s="63"/>
      <c r="G581" s="207"/>
      <c r="H581" s="109"/>
    </row>
    <row r="582" spans="1:19" ht="18.75">
      <c r="A582" s="197"/>
      <c r="B582" s="121" t="s">
        <v>1211</v>
      </c>
      <c r="C582" s="122" t="s">
        <v>1808</v>
      </c>
      <c r="D582" s="364">
        <f t="shared" ref="D582" si="242">+D583+D584</f>
        <v>166456.93</v>
      </c>
      <c r="E582" s="364">
        <f t="shared" ref="E582" si="243">+E583+E584</f>
        <v>166456.82999999999</v>
      </c>
      <c r="F582" s="63"/>
      <c r="G582" s="207"/>
      <c r="H582" s="109"/>
    </row>
    <row r="583" spans="1:19" ht="18.75">
      <c r="A583" s="197"/>
      <c r="B583" s="96" t="s">
        <v>1213</v>
      </c>
      <c r="C583" s="97" t="s">
        <v>1809</v>
      </c>
      <c r="D583" s="367">
        <f>+ROUND('Alim CE Costi'!E1238,2)</f>
        <v>0</v>
      </c>
      <c r="E583" s="367">
        <f>+ROUND('Alim CE Costi'!H1238,2)</f>
        <v>0</v>
      </c>
      <c r="F583" s="63"/>
      <c r="G583" s="207"/>
      <c r="H583" s="110"/>
    </row>
    <row r="584" spans="1:19" ht="18.75">
      <c r="A584" s="197"/>
      <c r="B584" s="96" t="s">
        <v>1215</v>
      </c>
      <c r="C584" s="97" t="s">
        <v>1810</v>
      </c>
      <c r="D584" s="367">
        <f>+ROUND('Alim CE Costi'!E1240,2)</f>
        <v>166456.93</v>
      </c>
      <c r="E584" s="367">
        <f>+ROUND('Alim CE Costi'!H1240,2)</f>
        <v>166456.82999999999</v>
      </c>
      <c r="F584" s="63"/>
      <c r="G584" s="207"/>
      <c r="H584" s="109"/>
      <c r="L584" s="108"/>
      <c r="M584" s="108"/>
      <c r="N584" s="108"/>
      <c r="O584" s="108"/>
      <c r="P584" s="108"/>
      <c r="Q584" s="108"/>
      <c r="R584" s="108"/>
      <c r="S584" s="108"/>
    </row>
    <row r="585" spans="1:19" ht="25.5">
      <c r="A585" s="199"/>
      <c r="B585" s="93" t="s">
        <v>1217</v>
      </c>
      <c r="C585" s="94" t="s">
        <v>1811</v>
      </c>
      <c r="D585" s="367">
        <f>+ROUND('Alim CE Costi'!E1242,2)</f>
        <v>0</v>
      </c>
      <c r="E585" s="367">
        <f>+ROUND('Alim CE Costi'!H1242,2)</f>
        <v>0</v>
      </c>
      <c r="F585" s="310"/>
      <c r="G585" s="207"/>
      <c r="H585" s="111"/>
      <c r="L585" s="108"/>
      <c r="M585" s="108"/>
      <c r="N585" s="108"/>
      <c r="O585" s="108"/>
      <c r="P585" s="108"/>
      <c r="Q585" s="108"/>
      <c r="R585" s="108"/>
      <c r="S585" s="108"/>
    </row>
    <row r="586" spans="1:19" ht="18.75">
      <c r="A586" s="199"/>
      <c r="B586" s="123" t="s">
        <v>1812</v>
      </c>
      <c r="C586" s="124" t="s">
        <v>1813</v>
      </c>
      <c r="D586" s="370">
        <f t="shared" ref="D586" si="244">+D577+D582+D585</f>
        <v>1174955.6599999999</v>
      </c>
      <c r="E586" s="370">
        <f t="shared" ref="E586" si="245">+E577+E582+E585</f>
        <v>1111450.07</v>
      </c>
      <c r="F586" s="63"/>
      <c r="G586" s="207"/>
      <c r="H586" s="112"/>
      <c r="L586" s="108"/>
      <c r="M586" s="108"/>
      <c r="N586" s="108"/>
      <c r="O586" s="108"/>
      <c r="P586" s="108"/>
      <c r="Q586" s="108"/>
      <c r="R586" s="108"/>
      <c r="S586" s="108"/>
    </row>
    <row r="587" spans="1:19" ht="19.5" thickBot="1">
      <c r="A587" s="204"/>
      <c r="B587" s="142" t="s">
        <v>1814</v>
      </c>
      <c r="C587" s="143" t="s">
        <v>1815</v>
      </c>
      <c r="D587" s="376">
        <f t="shared" ref="D587" si="246">+D575-D586</f>
        <v>959354.73000001931</v>
      </c>
      <c r="E587" s="376">
        <f t="shared" ref="E587" si="247">+E575-E586</f>
        <v>2874961.4699999094</v>
      </c>
      <c r="F587" s="63"/>
      <c r="G587" s="207"/>
      <c r="H587" s="112"/>
      <c r="L587" s="109"/>
      <c r="M587" s="109"/>
      <c r="N587" s="109"/>
      <c r="O587" s="109"/>
      <c r="P587" s="109"/>
      <c r="Q587" s="109"/>
      <c r="R587" s="109"/>
      <c r="S587" s="109"/>
    </row>
    <row r="588" spans="1:19">
      <c r="A588" s="114"/>
      <c r="B588" s="113"/>
      <c r="C588" s="114"/>
      <c r="D588" s="114"/>
      <c r="E588" s="114"/>
      <c r="F588" s="114"/>
      <c r="G588" s="114"/>
      <c r="H588" s="114"/>
      <c r="I588" s="114"/>
      <c r="K588" s="115"/>
      <c r="L588" s="115"/>
      <c r="M588" s="115"/>
      <c r="N588" s="115"/>
      <c r="O588" s="342"/>
    </row>
    <row r="589" spans="1:19">
      <c r="A589" s="114"/>
      <c r="B589" s="66" t="s">
        <v>1816</v>
      </c>
      <c r="C589" s="114"/>
      <c r="D589" s="114"/>
      <c r="E589" s="114"/>
      <c r="F589" s="114"/>
      <c r="G589" s="114"/>
      <c r="H589" s="114"/>
      <c r="I589" s="114"/>
      <c r="J589" s="114"/>
      <c r="L589" s="66"/>
      <c r="M589" s="66"/>
      <c r="N589" s="66"/>
      <c r="O589" s="66"/>
      <c r="P589" s="342"/>
    </row>
    <row r="590" spans="1:19" ht="15">
      <c r="A590" s="343"/>
      <c r="B590" s="55"/>
      <c r="C590" s="114"/>
      <c r="D590" s="114"/>
      <c r="E590" s="114"/>
      <c r="F590" s="114"/>
      <c r="G590" s="114"/>
      <c r="H590" s="114"/>
      <c r="I590" s="114"/>
      <c r="J590" s="114"/>
      <c r="L590" s="115"/>
      <c r="M590" s="115"/>
      <c r="N590" s="115"/>
      <c r="O590" s="115"/>
      <c r="P590" s="342"/>
    </row>
    <row r="591" spans="1:19">
      <c r="A591" s="343"/>
      <c r="B591" s="66"/>
      <c r="C591" s="66"/>
      <c r="D591" s="66"/>
      <c r="E591" s="66"/>
      <c r="F591" s="66"/>
      <c r="G591" s="66"/>
      <c r="H591" s="66"/>
      <c r="I591" s="66"/>
      <c r="J591" s="66"/>
      <c r="L591" s="66"/>
      <c r="M591" s="66"/>
      <c r="N591" s="66"/>
      <c r="O591" s="66"/>
      <c r="P591" s="344"/>
    </row>
    <row r="592" spans="1:19">
      <c r="A592" s="343"/>
      <c r="B592" s="59" t="s">
        <v>1817</v>
      </c>
      <c r="C592" s="115"/>
      <c r="D592" s="115" t="s">
        <v>1818</v>
      </c>
      <c r="E592" s="115"/>
      <c r="F592" s="115"/>
      <c r="G592" s="115"/>
      <c r="I592" s="115"/>
      <c r="J592" s="115"/>
      <c r="M592" s="115"/>
      <c r="N592" s="115"/>
      <c r="O592" s="66"/>
      <c r="P592" s="312"/>
    </row>
    <row r="593" spans="1:19">
      <c r="A593" s="114"/>
      <c r="B593" s="66"/>
      <c r="C593" s="66"/>
      <c r="D593" s="66"/>
      <c r="E593" s="66"/>
      <c r="F593" s="66"/>
      <c r="G593" s="66"/>
      <c r="H593" s="66"/>
      <c r="I593" s="66"/>
      <c r="J593" s="66"/>
      <c r="M593" s="66"/>
      <c r="N593" s="66"/>
      <c r="O593" s="66"/>
      <c r="P593" s="344"/>
    </row>
    <row r="594" spans="1:19" ht="15">
      <c r="A594" s="114"/>
      <c r="B594" s="59" t="s">
        <v>1819</v>
      </c>
      <c r="C594" s="114"/>
      <c r="D594" s="110" t="s">
        <v>1819</v>
      </c>
      <c r="E594" s="110"/>
      <c r="F594" s="110"/>
      <c r="G594" s="115"/>
      <c r="H594" s="115"/>
      <c r="I594" s="115"/>
      <c r="J594" s="115"/>
      <c r="M594" s="115"/>
      <c r="N594" s="115"/>
      <c r="O594" s="115"/>
      <c r="P594" s="345"/>
    </row>
    <row r="595" spans="1:19">
      <c r="A595" s="114"/>
      <c r="B595" s="66"/>
      <c r="C595" s="66"/>
      <c r="D595" s="66"/>
      <c r="E595" s="66"/>
      <c r="F595" s="66"/>
      <c r="G595" s="66"/>
      <c r="H595" s="66"/>
      <c r="I595" s="66"/>
      <c r="J595" s="66"/>
      <c r="L595" s="66"/>
      <c r="M595" s="66"/>
      <c r="N595" s="66"/>
      <c r="O595" s="66"/>
      <c r="P595" s="344"/>
    </row>
    <row r="596" spans="1:19">
      <c r="A596" s="114"/>
      <c r="B596" s="66"/>
      <c r="C596" s="66"/>
      <c r="D596" s="110" t="s">
        <v>1820</v>
      </c>
      <c r="E596" s="110"/>
      <c r="F596" s="110"/>
      <c r="G596" s="66"/>
      <c r="L596" s="115"/>
      <c r="M596" s="115"/>
      <c r="N596" s="115"/>
      <c r="O596" s="115"/>
      <c r="P596" s="344"/>
    </row>
    <row r="597" spans="1:19" ht="15">
      <c r="A597" s="114"/>
      <c r="B597" s="66"/>
      <c r="C597" s="66"/>
      <c r="G597" s="115"/>
      <c r="H597" s="115"/>
      <c r="M597" s="56"/>
      <c r="N597" s="56"/>
      <c r="O597" s="56"/>
      <c r="P597" s="344"/>
    </row>
    <row r="598" spans="1:19" ht="15">
      <c r="A598" s="56"/>
      <c r="B598" s="55"/>
      <c r="C598" s="115"/>
      <c r="D598" s="110" t="s">
        <v>1819</v>
      </c>
      <c r="E598" s="110"/>
      <c r="F598" s="110"/>
      <c r="G598" s="66"/>
      <c r="H598" s="66"/>
      <c r="M598" s="56"/>
      <c r="N598" s="56"/>
      <c r="O598" s="56"/>
      <c r="P598" s="345"/>
    </row>
    <row r="599" spans="1:19" ht="15">
      <c r="A599" s="56"/>
      <c r="B599" s="66"/>
      <c r="C599" s="66"/>
      <c r="D599" s="66"/>
      <c r="E599" s="66"/>
      <c r="F599" s="66"/>
      <c r="G599" s="66"/>
      <c r="M599" s="56"/>
      <c r="N599" s="56"/>
      <c r="O599" s="56"/>
      <c r="P599" s="344"/>
    </row>
    <row r="600" spans="1:19" ht="15">
      <c r="A600" s="56"/>
      <c r="C600" s="56"/>
      <c r="D600" s="56"/>
      <c r="E600" s="56"/>
      <c r="F600" s="56"/>
      <c r="G600" s="56"/>
      <c r="H600" s="115"/>
      <c r="I600" s="115"/>
      <c r="J600" s="115"/>
      <c r="M600" s="56"/>
      <c r="N600" s="56"/>
      <c r="O600" s="56"/>
      <c r="Q600" s="56"/>
    </row>
    <row r="601" spans="1:19" ht="15">
      <c r="M601" s="56"/>
      <c r="N601" s="56"/>
      <c r="O601" s="56"/>
    </row>
    <row r="602" spans="1:19" ht="15">
      <c r="P602" s="56"/>
      <c r="Q602" s="56"/>
      <c r="R602" s="56"/>
      <c r="S602" s="56"/>
    </row>
    <row r="603" spans="1:19" ht="15">
      <c r="P603" s="57"/>
      <c r="Q603" s="57"/>
      <c r="R603" s="57"/>
      <c r="S603" s="57"/>
    </row>
    <row r="604" spans="1:19" ht="15">
      <c r="P604" s="57"/>
      <c r="Q604" s="57"/>
      <c r="R604" s="57"/>
      <c r="S604" s="57"/>
    </row>
    <row r="605" spans="1:19" ht="15">
      <c r="P605" s="57"/>
      <c r="Q605" s="57"/>
      <c r="R605" s="57"/>
      <c r="S605" s="57"/>
    </row>
    <row r="606" spans="1:19" ht="15">
      <c r="P606" s="57"/>
      <c r="Q606" s="57"/>
      <c r="R606" s="57"/>
      <c r="S606" s="57"/>
    </row>
    <row r="607" spans="1:19" ht="15">
      <c r="P607" s="57"/>
      <c r="Q607" s="57"/>
      <c r="R607" s="57"/>
      <c r="S607" s="57"/>
    </row>
    <row r="608" spans="1:19" ht="15">
      <c r="P608" s="57"/>
      <c r="Q608" s="57"/>
      <c r="R608" s="57"/>
      <c r="S608" s="57"/>
    </row>
    <row r="609" spans="16:19" ht="15">
      <c r="P609" s="57"/>
      <c r="Q609" s="57"/>
      <c r="R609" s="57"/>
      <c r="S609" s="57"/>
    </row>
    <row r="610" spans="16:19" ht="15">
      <c r="P610" s="57"/>
      <c r="Q610" s="57"/>
      <c r="R610" s="57"/>
      <c r="S610" s="57"/>
    </row>
    <row r="611" spans="16:19" ht="15">
      <c r="P611" s="57"/>
      <c r="Q611" s="57"/>
      <c r="R611" s="57"/>
      <c r="S611" s="57"/>
    </row>
    <row r="612" spans="16:19" ht="15">
      <c r="P612" s="57"/>
      <c r="Q612" s="57"/>
      <c r="R612" s="57"/>
      <c r="S612" s="57"/>
    </row>
    <row r="613" spans="16:19" ht="15">
      <c r="P613" s="57"/>
      <c r="Q613" s="57"/>
      <c r="R613" s="57"/>
      <c r="S613" s="57"/>
    </row>
    <row r="614" spans="16:19" ht="15">
      <c r="P614" s="57"/>
      <c r="Q614" s="57"/>
      <c r="R614" s="57"/>
      <c r="S614" s="57"/>
    </row>
    <row r="615" spans="16:19" ht="15">
      <c r="P615" s="57"/>
      <c r="Q615" s="57"/>
      <c r="R615" s="57"/>
      <c r="S615" s="57"/>
    </row>
    <row r="616" spans="16:19" ht="15">
      <c r="P616" s="57"/>
      <c r="Q616" s="57"/>
      <c r="R616" s="57"/>
      <c r="S616" s="57"/>
    </row>
    <row r="617" spans="16:19" ht="15">
      <c r="P617" s="57"/>
      <c r="Q617" s="57"/>
      <c r="R617" s="57"/>
      <c r="S617" s="57"/>
    </row>
    <row r="618" spans="16:19" ht="15">
      <c r="P618" s="57"/>
      <c r="Q618" s="57"/>
      <c r="R618" s="57"/>
      <c r="S618" s="57"/>
    </row>
    <row r="619" spans="16:19" ht="15">
      <c r="P619" s="57"/>
      <c r="Q619" s="57"/>
      <c r="R619" s="57"/>
      <c r="S619" s="57"/>
    </row>
    <row r="620" spans="16:19" ht="15">
      <c r="P620" s="57"/>
      <c r="Q620" s="57"/>
      <c r="R620" s="57"/>
      <c r="S620" s="57"/>
    </row>
    <row r="621" spans="16:19" ht="15">
      <c r="P621" s="57"/>
      <c r="Q621" s="57"/>
      <c r="R621" s="57"/>
      <c r="S621" s="57"/>
    </row>
    <row r="622" spans="16:19" ht="15">
      <c r="P622" s="57"/>
      <c r="Q622" s="57"/>
      <c r="R622" s="57"/>
      <c r="S622" s="57"/>
    </row>
    <row r="623" spans="16:19" ht="15">
      <c r="P623" s="57"/>
      <c r="Q623" s="57"/>
      <c r="R623" s="57"/>
      <c r="S623" s="57"/>
    </row>
    <row r="624" spans="16:19" ht="15">
      <c r="P624" s="57"/>
      <c r="Q624" s="57"/>
      <c r="R624" s="57"/>
      <c r="S624" s="57"/>
    </row>
    <row r="625" spans="16:19" ht="15">
      <c r="P625" s="57"/>
      <c r="Q625" s="57"/>
      <c r="R625" s="57"/>
      <c r="S625" s="57"/>
    </row>
    <row r="626" spans="16:19" ht="15">
      <c r="P626" s="57"/>
      <c r="Q626" s="57"/>
      <c r="R626" s="57"/>
      <c r="S626" s="57"/>
    </row>
    <row r="627" spans="16:19" ht="15">
      <c r="P627" s="57"/>
      <c r="Q627" s="57"/>
      <c r="R627" s="57"/>
      <c r="S627" s="57"/>
    </row>
    <row r="628" spans="16:19" ht="15">
      <c r="P628" s="57"/>
      <c r="Q628" s="57"/>
      <c r="R628" s="57"/>
      <c r="S628" s="57"/>
    </row>
    <row r="629" spans="16:19" ht="15">
      <c r="P629" s="57"/>
      <c r="Q629" s="57"/>
      <c r="R629" s="57"/>
      <c r="S629" s="57"/>
    </row>
    <row r="630" spans="16:19" ht="15">
      <c r="P630" s="57"/>
      <c r="Q630" s="57"/>
      <c r="R630" s="57"/>
      <c r="S630" s="57"/>
    </row>
    <row r="631" spans="16:19" ht="15">
      <c r="P631" s="57"/>
      <c r="Q631" s="57"/>
      <c r="R631" s="57"/>
      <c r="S631" s="57"/>
    </row>
    <row r="632" spans="16:19" ht="15">
      <c r="P632" s="57"/>
      <c r="Q632" s="57"/>
      <c r="R632" s="57"/>
      <c r="S632" s="57"/>
    </row>
    <row r="633" spans="16:19" ht="15">
      <c r="P633" s="57"/>
      <c r="Q633" s="57"/>
      <c r="R633" s="57"/>
      <c r="S633" s="57"/>
    </row>
    <row r="634" spans="16:19" ht="15">
      <c r="P634" s="57"/>
      <c r="Q634" s="57"/>
      <c r="R634" s="57"/>
      <c r="S634" s="57"/>
    </row>
    <row r="635" spans="16:19" ht="15">
      <c r="P635" s="57"/>
      <c r="Q635" s="57"/>
      <c r="R635" s="57"/>
      <c r="S635" s="57"/>
    </row>
    <row r="636" spans="16:19" ht="15">
      <c r="P636" s="57"/>
      <c r="Q636" s="57"/>
      <c r="R636" s="57"/>
      <c r="S636" s="57"/>
    </row>
    <row r="637" spans="16:19" ht="15">
      <c r="P637" s="57"/>
      <c r="Q637" s="57"/>
      <c r="R637" s="57"/>
      <c r="S637" s="57"/>
    </row>
    <row r="638" spans="16:19" ht="15">
      <c r="P638" s="57"/>
      <c r="Q638" s="57"/>
      <c r="R638" s="57"/>
      <c r="S638" s="57"/>
    </row>
    <row r="639" spans="16:19" ht="15">
      <c r="P639" s="57"/>
      <c r="Q639" s="57"/>
      <c r="R639" s="57"/>
      <c r="S639" s="57"/>
    </row>
    <row r="640" spans="16:19" ht="15">
      <c r="P640" s="57"/>
      <c r="Q640" s="57"/>
      <c r="R640" s="57"/>
      <c r="S640" s="57"/>
    </row>
    <row r="641" spans="16:19" ht="15">
      <c r="P641" s="57"/>
      <c r="Q641" s="57"/>
      <c r="R641" s="57"/>
      <c r="S641" s="57"/>
    </row>
    <row r="642" spans="16:19" ht="15">
      <c r="P642" s="57"/>
      <c r="Q642" s="57"/>
      <c r="R642" s="57"/>
      <c r="S642" s="57"/>
    </row>
    <row r="643" spans="16:19" ht="15">
      <c r="P643" s="57"/>
      <c r="Q643" s="57"/>
      <c r="R643" s="57"/>
      <c r="S643" s="57"/>
    </row>
    <row r="644" spans="16:19" ht="15">
      <c r="P644" s="57"/>
      <c r="Q644" s="57"/>
      <c r="R644" s="57"/>
      <c r="S644" s="57"/>
    </row>
    <row r="645" spans="16:19" ht="15">
      <c r="P645" s="57"/>
      <c r="Q645" s="57"/>
      <c r="R645" s="57"/>
      <c r="S645" s="57"/>
    </row>
    <row r="646" spans="16:19" ht="15">
      <c r="P646" s="57"/>
      <c r="Q646" s="57"/>
      <c r="R646" s="57"/>
      <c r="S646" s="57"/>
    </row>
    <row r="647" spans="16:19" ht="15">
      <c r="P647" s="57"/>
      <c r="Q647" s="57"/>
      <c r="R647" s="57"/>
      <c r="S647" s="57"/>
    </row>
    <row r="648" spans="16:19" ht="15">
      <c r="P648" s="57"/>
      <c r="Q648" s="57"/>
      <c r="R648" s="57"/>
      <c r="S648" s="57"/>
    </row>
    <row r="649" spans="16:19" ht="15">
      <c r="P649" s="57"/>
      <c r="Q649" s="57"/>
      <c r="R649" s="57"/>
      <c r="S649" s="57"/>
    </row>
    <row r="650" spans="16:19" ht="15">
      <c r="P650" s="57"/>
      <c r="Q650" s="57"/>
      <c r="R650" s="57"/>
      <c r="S650" s="57"/>
    </row>
  </sheetData>
  <mergeCells count="6">
    <mergeCell ref="T1:V2"/>
    <mergeCell ref="D23:F23"/>
    <mergeCell ref="L10:N10"/>
    <mergeCell ref="L12:M12"/>
    <mergeCell ref="L14:N14"/>
    <mergeCell ref="Q14:T14"/>
  </mergeCells>
  <printOptions horizontalCentered="1"/>
  <pageMargins left="0" right="0" top="0.19685039370078741" bottom="0.19685039370078741" header="0.31496062992125984" footer="0.31496062992125984"/>
  <pageSetup paperSize="9" scale="55" fitToHeight="10" orientation="portrait" r:id="rId1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3"/>
  <sheetViews>
    <sheetView zoomScaleNormal="100" workbookViewId="0">
      <pane ySplit="1" topLeftCell="A1129" activePane="bottomLeft" state="frozen"/>
      <selection pane="bottomLeft" activeCell="F1154" sqref="F1154"/>
    </sheetView>
  </sheetViews>
  <sheetFormatPr defaultRowHeight="12.75"/>
  <cols>
    <col min="1" max="1" width="4.7109375" style="357" customWidth="1"/>
    <col min="2" max="2" width="18.7109375" style="223" customWidth="1"/>
    <col min="3" max="3" width="52.28515625" style="297" customWidth="1"/>
    <col min="4" max="4" width="7.42578125" customWidth="1"/>
    <col min="5" max="8" width="15.7109375" style="217" customWidth="1"/>
    <col min="9" max="9" width="9.7109375" bestFit="1" customWidth="1"/>
  </cols>
  <sheetData>
    <row r="1" spans="1:9" s="298" customFormat="1" ht="51.75" thickBot="1">
      <c r="A1" s="341" t="s">
        <v>120</v>
      </c>
      <c r="B1" s="314" t="s">
        <v>2048</v>
      </c>
      <c r="C1" s="314" t="s">
        <v>121</v>
      </c>
      <c r="D1" s="314" t="s">
        <v>1936</v>
      </c>
      <c r="E1" s="346" t="s">
        <v>2656</v>
      </c>
      <c r="F1" s="315" t="s">
        <v>2657</v>
      </c>
      <c r="G1" s="315" t="s">
        <v>2658</v>
      </c>
      <c r="H1" s="346" t="s">
        <v>2659</v>
      </c>
      <c r="I1"/>
    </row>
    <row r="2" spans="1:9">
      <c r="A2" s="398" t="s">
        <v>1960</v>
      </c>
      <c r="B2" s="389" t="s">
        <v>2049</v>
      </c>
      <c r="C2" s="389" t="s">
        <v>2050</v>
      </c>
      <c r="D2" s="399"/>
      <c r="E2" s="400"/>
      <c r="F2" s="400"/>
      <c r="G2" s="400"/>
      <c r="H2" s="400"/>
    </row>
    <row r="3" spans="1:9">
      <c r="A3" s="401" t="s">
        <v>1963</v>
      </c>
      <c r="B3" s="317" t="s">
        <v>463</v>
      </c>
      <c r="C3" s="317" t="s">
        <v>2051</v>
      </c>
      <c r="D3" s="328"/>
      <c r="E3" s="333"/>
      <c r="F3" s="333"/>
      <c r="G3" s="333"/>
      <c r="H3" s="333"/>
    </row>
    <row r="4" spans="1:9">
      <c r="A4" s="401" t="s">
        <v>1965</v>
      </c>
      <c r="B4" s="317" t="s">
        <v>464</v>
      </c>
      <c r="C4" s="317" t="s">
        <v>2052</v>
      </c>
      <c r="D4" s="328"/>
      <c r="E4" s="333"/>
      <c r="F4" s="333"/>
      <c r="G4" s="333"/>
      <c r="H4" s="333"/>
    </row>
    <row r="5" spans="1:9">
      <c r="A5" s="401" t="s">
        <v>1967</v>
      </c>
      <c r="B5" s="317" t="s">
        <v>465</v>
      </c>
      <c r="C5" s="317" t="s">
        <v>2053</v>
      </c>
      <c r="D5" s="328"/>
      <c r="E5" s="333"/>
      <c r="F5" s="333"/>
      <c r="G5" s="333"/>
      <c r="H5" s="333"/>
    </row>
    <row r="6" spans="1:9" ht="25.5">
      <c r="A6" s="401" t="s">
        <v>1969</v>
      </c>
      <c r="B6" s="317" t="s">
        <v>466</v>
      </c>
      <c r="C6" s="317" t="s">
        <v>2054</v>
      </c>
      <c r="D6" s="328"/>
      <c r="E6" s="333"/>
      <c r="F6" s="333"/>
      <c r="G6" s="333"/>
      <c r="H6" s="333"/>
    </row>
    <row r="7" spans="1:9" ht="24">
      <c r="A7" s="402">
        <v>7</v>
      </c>
      <c r="B7" s="799">
        <v>300100100100000</v>
      </c>
      <c r="C7" s="320" t="s">
        <v>467</v>
      </c>
      <c r="D7" s="329"/>
      <c r="E7" s="335">
        <f>+F7+G7</f>
        <v>334546944.58999997</v>
      </c>
      <c r="F7" s="354">
        <v>334546944.58999997</v>
      </c>
      <c r="G7" s="354"/>
      <c r="H7" s="335">
        <v>315613865.48000002</v>
      </c>
      <c r="I7" s="217"/>
    </row>
    <row r="8" spans="1:9">
      <c r="A8" s="402">
        <v>7</v>
      </c>
      <c r="B8" s="799">
        <v>300100100110000</v>
      </c>
      <c r="C8" s="320" t="s">
        <v>1937</v>
      </c>
      <c r="D8" s="329"/>
      <c r="E8" s="335">
        <f t="shared" ref="E8:E69" si="0">+F8+G8</f>
        <v>0.35</v>
      </c>
      <c r="F8" s="354">
        <v>0.35</v>
      </c>
      <c r="G8" s="354"/>
      <c r="H8" s="335">
        <v>1</v>
      </c>
      <c r="I8" s="217"/>
    </row>
    <row r="9" spans="1:9">
      <c r="A9" s="401" t="s">
        <v>1969</v>
      </c>
      <c r="B9" s="800" t="s">
        <v>469</v>
      </c>
      <c r="C9" s="317" t="s">
        <v>1378</v>
      </c>
      <c r="D9" s="328"/>
      <c r="E9" s="359"/>
      <c r="F9" s="359"/>
      <c r="G9" s="359"/>
      <c r="H9" s="359">
        <v>0</v>
      </c>
    </row>
    <row r="10" spans="1:9">
      <c r="A10" s="402" t="s">
        <v>1970</v>
      </c>
      <c r="B10" s="799">
        <v>300100100200000</v>
      </c>
      <c r="C10" s="320" t="s">
        <v>468</v>
      </c>
      <c r="D10" s="329"/>
      <c r="E10" s="335">
        <f t="shared" si="0"/>
        <v>3356440.24</v>
      </c>
      <c r="F10" s="354">
        <v>3356440.24</v>
      </c>
      <c r="G10" s="354"/>
      <c r="H10" s="335">
        <v>3403375.55</v>
      </c>
      <c r="I10" s="217"/>
    </row>
    <row r="11" spans="1:9" ht="24">
      <c r="A11" s="402">
        <v>7</v>
      </c>
      <c r="B11" s="799">
        <v>300100100210000</v>
      </c>
      <c r="C11" s="320" t="s">
        <v>1938</v>
      </c>
      <c r="D11" s="329"/>
      <c r="E11" s="335">
        <f t="shared" si="0"/>
        <v>3.4</v>
      </c>
      <c r="F11" s="354">
        <v>3.4</v>
      </c>
      <c r="G11" s="354"/>
      <c r="H11" s="335">
        <v>2.27</v>
      </c>
      <c r="I11" s="217"/>
    </row>
    <row r="12" spans="1:9">
      <c r="A12" s="401" t="s">
        <v>1969</v>
      </c>
      <c r="B12" s="800" t="s">
        <v>471</v>
      </c>
      <c r="C12" s="317" t="s">
        <v>1379</v>
      </c>
      <c r="D12" s="328"/>
      <c r="E12" s="359"/>
      <c r="F12" s="359"/>
      <c r="G12" s="359"/>
      <c r="H12" s="359">
        <v>0</v>
      </c>
    </row>
    <row r="13" spans="1:9">
      <c r="A13" s="402" t="s">
        <v>1970</v>
      </c>
      <c r="B13" s="799">
        <v>300100100250000</v>
      </c>
      <c r="C13" s="320" t="s">
        <v>470</v>
      </c>
      <c r="D13" s="329"/>
      <c r="E13" s="335">
        <f t="shared" si="0"/>
        <v>0</v>
      </c>
      <c r="F13" s="354"/>
      <c r="G13" s="354"/>
      <c r="H13" s="335">
        <v>0</v>
      </c>
      <c r="I13" s="217"/>
    </row>
    <row r="14" spans="1:9">
      <c r="A14" s="401" t="s">
        <v>1969</v>
      </c>
      <c r="B14" s="800" t="s">
        <v>472</v>
      </c>
      <c r="C14" s="317" t="s">
        <v>1380</v>
      </c>
      <c r="D14" s="328"/>
      <c r="E14" s="359"/>
      <c r="F14" s="359"/>
      <c r="G14" s="359"/>
      <c r="H14" s="359">
        <v>0</v>
      </c>
    </row>
    <row r="15" spans="1:9" ht="38.25">
      <c r="A15" s="401" t="s">
        <v>1970</v>
      </c>
      <c r="B15" s="800" t="s">
        <v>474</v>
      </c>
      <c r="C15" s="317" t="s">
        <v>1381</v>
      </c>
      <c r="D15" s="328" t="s">
        <v>1248</v>
      </c>
      <c r="E15" s="359"/>
      <c r="F15" s="359"/>
      <c r="G15" s="359"/>
      <c r="H15" s="359">
        <v>0</v>
      </c>
    </row>
    <row r="16" spans="1:9" ht="24">
      <c r="A16" s="402" t="s">
        <v>2017</v>
      </c>
      <c r="B16" s="799">
        <v>300100100301000</v>
      </c>
      <c r="C16" s="320" t="s">
        <v>473</v>
      </c>
      <c r="D16" s="329" t="s">
        <v>1248</v>
      </c>
      <c r="E16" s="335">
        <f t="shared" si="0"/>
        <v>0</v>
      </c>
      <c r="F16" s="354"/>
      <c r="G16" s="354"/>
      <c r="H16" s="335">
        <v>0</v>
      </c>
      <c r="I16" s="217"/>
    </row>
    <row r="17" spans="1:9" ht="38.25">
      <c r="A17" s="401" t="s">
        <v>1970</v>
      </c>
      <c r="B17" s="800" t="s">
        <v>476</v>
      </c>
      <c r="C17" s="317" t="s">
        <v>2055</v>
      </c>
      <c r="D17" s="328"/>
      <c r="E17" s="359"/>
      <c r="F17" s="359"/>
      <c r="G17" s="359"/>
      <c r="H17" s="359">
        <v>0</v>
      </c>
    </row>
    <row r="18" spans="1:9" ht="24">
      <c r="A18" s="402" t="s">
        <v>2017</v>
      </c>
      <c r="B18" s="799">
        <v>300100100302000</v>
      </c>
      <c r="C18" s="320" t="s">
        <v>475</v>
      </c>
      <c r="D18" s="329"/>
      <c r="E18" s="335">
        <f t="shared" si="0"/>
        <v>0</v>
      </c>
      <c r="F18" s="354"/>
      <c r="G18" s="354"/>
      <c r="H18" s="335">
        <v>0</v>
      </c>
      <c r="I18" s="217"/>
    </row>
    <row r="19" spans="1:9" ht="25.5">
      <c r="A19" s="401" t="s">
        <v>1970</v>
      </c>
      <c r="B19" s="800" t="s">
        <v>478</v>
      </c>
      <c r="C19" s="317" t="s">
        <v>1383</v>
      </c>
      <c r="D19" s="328"/>
      <c r="E19" s="359"/>
      <c r="F19" s="359"/>
      <c r="G19" s="359"/>
      <c r="H19" s="359">
        <v>0</v>
      </c>
    </row>
    <row r="20" spans="1:9">
      <c r="A20" s="402" t="s">
        <v>2017</v>
      </c>
      <c r="B20" s="799">
        <v>300100100303000</v>
      </c>
      <c r="C20" s="320" t="s">
        <v>477</v>
      </c>
      <c r="D20" s="329"/>
      <c r="E20" s="335">
        <f t="shared" si="0"/>
        <v>0</v>
      </c>
      <c r="F20" s="354"/>
      <c r="G20" s="354"/>
      <c r="H20" s="335">
        <v>0</v>
      </c>
      <c r="I20" s="217"/>
    </row>
    <row r="21" spans="1:9">
      <c r="A21" s="401" t="s">
        <v>1967</v>
      </c>
      <c r="B21" s="800" t="s">
        <v>479</v>
      </c>
      <c r="C21" s="317" t="s">
        <v>2056</v>
      </c>
      <c r="D21" s="328"/>
      <c r="E21" s="359"/>
      <c r="F21" s="359"/>
      <c r="G21" s="359"/>
      <c r="H21" s="359">
        <v>0</v>
      </c>
    </row>
    <row r="22" spans="1:9" ht="25.5">
      <c r="A22" s="401" t="s">
        <v>1969</v>
      </c>
      <c r="B22" s="800" t="s">
        <v>480</v>
      </c>
      <c r="C22" s="317" t="s">
        <v>1385</v>
      </c>
      <c r="D22" s="328" t="s">
        <v>1248</v>
      </c>
      <c r="E22" s="359"/>
      <c r="F22" s="359"/>
      <c r="G22" s="359"/>
      <c r="H22" s="359">
        <v>0</v>
      </c>
    </row>
    <row r="23" spans="1:9" ht="24">
      <c r="A23" s="402" t="s">
        <v>1970</v>
      </c>
      <c r="B23" s="799">
        <v>300100200100000</v>
      </c>
      <c r="C23" s="320" t="s">
        <v>2057</v>
      </c>
      <c r="D23" s="329" t="s">
        <v>1248</v>
      </c>
      <c r="E23" s="335">
        <f t="shared" si="0"/>
        <v>0</v>
      </c>
      <c r="F23" s="354"/>
      <c r="G23" s="354"/>
      <c r="H23" s="335">
        <v>0</v>
      </c>
      <c r="I23" s="217"/>
    </row>
    <row r="24" spans="1:9" ht="25.5">
      <c r="A24" s="401" t="s">
        <v>1969</v>
      </c>
      <c r="B24" s="800" t="s">
        <v>481</v>
      </c>
      <c r="C24" s="317" t="s">
        <v>1386</v>
      </c>
      <c r="D24" s="328"/>
      <c r="E24" s="359"/>
      <c r="F24" s="359"/>
      <c r="G24" s="359"/>
      <c r="H24" s="359">
        <v>0</v>
      </c>
    </row>
    <row r="25" spans="1:9" ht="24">
      <c r="A25" s="402" t="s">
        <v>1970</v>
      </c>
      <c r="B25" s="799">
        <v>300100200200000</v>
      </c>
      <c r="C25" s="320" t="s">
        <v>2058</v>
      </c>
      <c r="D25" s="329"/>
      <c r="E25" s="335">
        <f t="shared" si="0"/>
        <v>0</v>
      </c>
      <c r="F25" s="354"/>
      <c r="G25" s="354"/>
      <c r="H25" s="335">
        <v>0</v>
      </c>
      <c r="I25" s="217"/>
    </row>
    <row r="26" spans="1:9">
      <c r="A26" s="401" t="s">
        <v>1969</v>
      </c>
      <c r="B26" s="800" t="s">
        <v>483</v>
      </c>
      <c r="C26" s="317" t="s">
        <v>1387</v>
      </c>
      <c r="D26" s="328"/>
      <c r="E26" s="359"/>
      <c r="F26" s="359"/>
      <c r="G26" s="359"/>
      <c r="H26" s="359">
        <v>0</v>
      </c>
    </row>
    <row r="27" spans="1:9">
      <c r="A27" s="402" t="s">
        <v>1970</v>
      </c>
      <c r="B27" s="799">
        <v>300100200300000</v>
      </c>
      <c r="C27" s="320" t="s">
        <v>482</v>
      </c>
      <c r="D27" s="329"/>
      <c r="E27" s="335">
        <f t="shared" si="0"/>
        <v>0</v>
      </c>
      <c r="F27" s="354"/>
      <c r="G27" s="354"/>
      <c r="H27" s="335">
        <v>0</v>
      </c>
      <c r="I27" s="217"/>
    </row>
    <row r="28" spans="1:9">
      <c r="A28" s="401" t="s">
        <v>1967</v>
      </c>
      <c r="B28" s="800" t="s">
        <v>485</v>
      </c>
      <c r="C28" s="317" t="s">
        <v>1388</v>
      </c>
      <c r="D28" s="328"/>
      <c r="E28" s="359"/>
      <c r="F28" s="359"/>
      <c r="G28" s="359"/>
      <c r="H28" s="359">
        <v>0</v>
      </c>
    </row>
    <row r="29" spans="1:9">
      <c r="A29" s="401" t="s">
        <v>1969</v>
      </c>
      <c r="B29" s="800" t="s">
        <v>486</v>
      </c>
      <c r="C29" s="317" t="s">
        <v>2059</v>
      </c>
      <c r="D29" s="328"/>
      <c r="E29" s="359"/>
      <c r="F29" s="359"/>
      <c r="G29" s="359"/>
      <c r="H29" s="359">
        <v>0</v>
      </c>
    </row>
    <row r="30" spans="1:9">
      <c r="A30" s="402" t="s">
        <v>1970</v>
      </c>
      <c r="B30" s="799">
        <v>300100300100000</v>
      </c>
      <c r="C30" s="320" t="s">
        <v>484</v>
      </c>
      <c r="D30" s="329"/>
      <c r="E30" s="335">
        <f t="shared" si="0"/>
        <v>90492664.870000005</v>
      </c>
      <c r="F30" s="354">
        <v>90492664.870000005</v>
      </c>
      <c r="G30" s="354"/>
      <c r="H30" s="335">
        <v>88606410.739999995</v>
      </c>
      <c r="I30" s="217"/>
    </row>
    <row r="31" spans="1:9">
      <c r="A31" s="402">
        <v>7</v>
      </c>
      <c r="B31" s="799">
        <v>300100300110000</v>
      </c>
      <c r="C31" s="320" t="s">
        <v>1939</v>
      </c>
      <c r="D31" s="329"/>
      <c r="E31" s="335">
        <f t="shared" si="0"/>
        <v>385.64</v>
      </c>
      <c r="F31" s="354">
        <v>385.64</v>
      </c>
      <c r="G31" s="354"/>
      <c r="H31" s="335">
        <v>193.18</v>
      </c>
      <c r="I31" s="217"/>
    </row>
    <row r="32" spans="1:9">
      <c r="A32" s="401" t="s">
        <v>1969</v>
      </c>
      <c r="B32" s="800" t="s">
        <v>488</v>
      </c>
      <c r="C32" s="317" t="s">
        <v>2060</v>
      </c>
      <c r="D32" s="328"/>
      <c r="E32" s="359"/>
      <c r="F32" s="359"/>
      <c r="G32" s="359"/>
      <c r="H32" s="359">
        <v>0</v>
      </c>
    </row>
    <row r="33" spans="1:9">
      <c r="A33" s="402" t="s">
        <v>1970</v>
      </c>
      <c r="B33" s="799">
        <v>300100300200000</v>
      </c>
      <c r="C33" s="320" t="s">
        <v>487</v>
      </c>
      <c r="D33" s="329"/>
      <c r="E33" s="335">
        <f t="shared" si="0"/>
        <v>3842143.51</v>
      </c>
      <c r="F33" s="354">
        <v>3842143.51</v>
      </c>
      <c r="G33" s="354"/>
      <c r="H33" s="335">
        <v>787034.04</v>
      </c>
      <c r="I33" s="217"/>
    </row>
    <row r="34" spans="1:9" ht="24">
      <c r="A34" s="402">
        <v>7</v>
      </c>
      <c r="B34" s="799">
        <v>300100300210000</v>
      </c>
      <c r="C34" s="320" t="s">
        <v>1940</v>
      </c>
      <c r="D34" s="329"/>
      <c r="E34" s="335">
        <f t="shared" si="0"/>
        <v>0</v>
      </c>
      <c r="F34" s="354"/>
      <c r="G34" s="354"/>
      <c r="H34" s="335">
        <v>0</v>
      </c>
      <c r="I34" s="217"/>
    </row>
    <row r="35" spans="1:9">
      <c r="A35" s="401" t="s">
        <v>1969</v>
      </c>
      <c r="B35" s="800" t="s">
        <v>490</v>
      </c>
      <c r="C35" s="317" t="s">
        <v>2061</v>
      </c>
      <c r="D35" s="328"/>
      <c r="E35" s="359"/>
      <c r="F35" s="359"/>
      <c r="G35" s="359"/>
      <c r="H35" s="359">
        <v>0</v>
      </c>
    </row>
    <row r="36" spans="1:9">
      <c r="A36" s="402" t="s">
        <v>1970</v>
      </c>
      <c r="B36" s="799">
        <v>300100300300000</v>
      </c>
      <c r="C36" s="320" t="s">
        <v>489</v>
      </c>
      <c r="D36" s="329"/>
      <c r="E36" s="335">
        <f t="shared" si="0"/>
        <v>4656593.3600000003</v>
      </c>
      <c r="F36" s="354">
        <v>4656593.3600000003</v>
      </c>
      <c r="G36" s="354"/>
      <c r="H36" s="335">
        <v>6263885.1399999997</v>
      </c>
      <c r="I36" s="217"/>
    </row>
    <row r="37" spans="1:9" ht="24">
      <c r="A37" s="402">
        <v>7</v>
      </c>
      <c r="B37" s="799">
        <v>300100300310000</v>
      </c>
      <c r="C37" s="320" t="s">
        <v>1941</v>
      </c>
      <c r="D37" s="329"/>
      <c r="E37" s="335">
        <f t="shared" si="0"/>
        <v>0</v>
      </c>
      <c r="F37" s="354"/>
      <c r="G37" s="354"/>
      <c r="H37" s="335">
        <v>1.79</v>
      </c>
      <c r="I37" s="217"/>
    </row>
    <row r="38" spans="1:9">
      <c r="A38" s="401" t="s">
        <v>1967</v>
      </c>
      <c r="B38" s="800" t="s">
        <v>492</v>
      </c>
      <c r="C38" s="317" t="s">
        <v>2062</v>
      </c>
      <c r="D38" s="328"/>
      <c r="E38" s="359"/>
      <c r="F38" s="359"/>
      <c r="G38" s="359"/>
      <c r="H38" s="359">
        <v>0</v>
      </c>
    </row>
    <row r="39" spans="1:9">
      <c r="A39" s="402" t="s">
        <v>1969</v>
      </c>
      <c r="B39" s="799">
        <v>300100400000000</v>
      </c>
      <c r="C39" s="320" t="s">
        <v>491</v>
      </c>
      <c r="D39" s="329"/>
      <c r="E39" s="335">
        <f t="shared" si="0"/>
        <v>3114596.5</v>
      </c>
      <c r="F39" s="354">
        <v>3114596.5</v>
      </c>
      <c r="G39" s="354"/>
      <c r="H39" s="335">
        <v>2354109.0299999998</v>
      </c>
      <c r="I39" s="217"/>
    </row>
    <row r="40" spans="1:9">
      <c r="A40" s="402">
        <v>6</v>
      </c>
      <c r="B40" s="799">
        <v>300100400100000</v>
      </c>
      <c r="C40" s="320" t="s">
        <v>1942</v>
      </c>
      <c r="D40" s="329"/>
      <c r="E40" s="335">
        <f t="shared" si="0"/>
        <v>0</v>
      </c>
      <c r="F40" s="354"/>
      <c r="G40" s="354"/>
      <c r="H40" s="335">
        <v>0</v>
      </c>
      <c r="I40" s="217"/>
    </row>
    <row r="41" spans="1:9">
      <c r="A41" s="401" t="s">
        <v>1967</v>
      </c>
      <c r="B41" s="800" t="s">
        <v>494</v>
      </c>
      <c r="C41" s="317" t="s">
        <v>2063</v>
      </c>
      <c r="D41" s="328"/>
      <c r="E41" s="359"/>
      <c r="F41" s="359"/>
      <c r="G41" s="359"/>
      <c r="H41" s="359">
        <v>0</v>
      </c>
    </row>
    <row r="42" spans="1:9">
      <c r="A42" s="402" t="s">
        <v>1969</v>
      </c>
      <c r="B42" s="799">
        <v>300100500000000</v>
      </c>
      <c r="C42" s="320" t="s">
        <v>493</v>
      </c>
      <c r="D42" s="329"/>
      <c r="E42" s="335">
        <f t="shared" si="0"/>
        <v>17232957.370000001</v>
      </c>
      <c r="F42" s="354">
        <v>17232957.370000001</v>
      </c>
      <c r="G42" s="354"/>
      <c r="H42" s="335">
        <v>15808515.710000001</v>
      </c>
      <c r="I42" s="217"/>
    </row>
    <row r="43" spans="1:9" ht="24">
      <c r="A43" s="402">
        <v>6</v>
      </c>
      <c r="B43" s="799">
        <v>300100500100000</v>
      </c>
      <c r="C43" s="320" t="s">
        <v>1943</v>
      </c>
      <c r="D43" s="329"/>
      <c r="E43" s="335">
        <f t="shared" si="0"/>
        <v>0</v>
      </c>
      <c r="F43" s="354"/>
      <c r="G43" s="354"/>
      <c r="H43" s="335">
        <v>0</v>
      </c>
      <c r="I43" s="217"/>
    </row>
    <row r="44" spans="1:9">
      <c r="A44" s="401" t="s">
        <v>1967</v>
      </c>
      <c r="B44" s="800" t="s">
        <v>496</v>
      </c>
      <c r="C44" s="317" t="s">
        <v>2064</v>
      </c>
      <c r="D44" s="328"/>
      <c r="E44" s="359"/>
      <c r="F44" s="359"/>
      <c r="G44" s="359"/>
      <c r="H44" s="359">
        <v>0</v>
      </c>
    </row>
    <row r="45" spans="1:9">
      <c r="A45" s="402" t="s">
        <v>1969</v>
      </c>
      <c r="B45" s="799">
        <v>300100600000000</v>
      </c>
      <c r="C45" s="320" t="s">
        <v>495</v>
      </c>
      <c r="D45" s="329"/>
      <c r="E45" s="335">
        <f t="shared" si="0"/>
        <v>2060.08</v>
      </c>
      <c r="F45" s="354">
        <v>2060.08</v>
      </c>
      <c r="G45" s="354"/>
      <c r="H45" s="335">
        <v>14794.1</v>
      </c>
      <c r="I45" s="217"/>
    </row>
    <row r="46" spans="1:9">
      <c r="A46" s="402">
        <v>6</v>
      </c>
      <c r="B46" s="799">
        <v>300100600100000</v>
      </c>
      <c r="C46" s="320" t="s">
        <v>1944</v>
      </c>
      <c r="D46" s="329"/>
      <c r="E46" s="335">
        <f t="shared" si="0"/>
        <v>0</v>
      </c>
      <c r="F46" s="354"/>
      <c r="G46" s="354"/>
      <c r="H46" s="335">
        <v>0</v>
      </c>
      <c r="I46" s="217"/>
    </row>
    <row r="47" spans="1:9">
      <c r="A47" s="401" t="s">
        <v>1967</v>
      </c>
      <c r="B47" s="800" t="s">
        <v>498</v>
      </c>
      <c r="C47" s="317" t="s">
        <v>2065</v>
      </c>
      <c r="D47" s="328"/>
      <c r="E47" s="359"/>
      <c r="F47" s="359"/>
      <c r="G47" s="359"/>
      <c r="H47" s="359">
        <v>0</v>
      </c>
    </row>
    <row r="48" spans="1:9">
      <c r="A48" s="402" t="s">
        <v>1969</v>
      </c>
      <c r="B48" s="799">
        <v>300100700000000</v>
      </c>
      <c r="C48" s="320" t="s">
        <v>497</v>
      </c>
      <c r="D48" s="329"/>
      <c r="E48" s="335">
        <f t="shared" si="0"/>
        <v>20138.93</v>
      </c>
      <c r="F48" s="354">
        <v>20138.93</v>
      </c>
      <c r="G48" s="354"/>
      <c r="H48" s="335">
        <v>47393.64</v>
      </c>
      <c r="I48" s="217"/>
    </row>
    <row r="49" spans="1:9" ht="24">
      <c r="A49" s="402">
        <v>6</v>
      </c>
      <c r="B49" s="799">
        <v>300100700100000</v>
      </c>
      <c r="C49" s="320" t="s">
        <v>1945</v>
      </c>
      <c r="D49" s="329"/>
      <c r="E49" s="335">
        <f t="shared" si="0"/>
        <v>0</v>
      </c>
      <c r="F49" s="354"/>
      <c r="G49" s="354"/>
      <c r="H49" s="335">
        <v>0</v>
      </c>
      <c r="I49" s="217"/>
    </row>
    <row r="50" spans="1:9">
      <c r="A50" s="401" t="s">
        <v>1967</v>
      </c>
      <c r="B50" s="800" t="s">
        <v>500</v>
      </c>
      <c r="C50" s="317" t="s">
        <v>2066</v>
      </c>
      <c r="D50" s="328"/>
      <c r="E50" s="359"/>
      <c r="F50" s="359"/>
      <c r="G50" s="359"/>
      <c r="H50" s="359">
        <v>0</v>
      </c>
    </row>
    <row r="51" spans="1:9">
      <c r="A51" s="402" t="s">
        <v>1969</v>
      </c>
      <c r="B51" s="799">
        <v>300100800000000</v>
      </c>
      <c r="C51" s="320" t="s">
        <v>499</v>
      </c>
      <c r="D51" s="329"/>
      <c r="E51" s="335">
        <f t="shared" si="0"/>
        <v>1621264.19</v>
      </c>
      <c r="F51" s="354">
        <v>1621264.19</v>
      </c>
      <c r="G51" s="354"/>
      <c r="H51" s="335">
        <v>3095803.63</v>
      </c>
      <c r="I51" s="217"/>
    </row>
    <row r="52" spans="1:9" ht="24">
      <c r="A52" s="402">
        <v>6</v>
      </c>
      <c r="B52" s="799">
        <v>300100800100000</v>
      </c>
      <c r="C52" s="320" t="s">
        <v>1946</v>
      </c>
      <c r="D52" s="329"/>
      <c r="E52" s="335">
        <f t="shared" si="0"/>
        <v>0</v>
      </c>
      <c r="F52" s="354"/>
      <c r="G52" s="354"/>
      <c r="H52" s="335">
        <v>0</v>
      </c>
      <c r="I52" s="217"/>
    </row>
    <row r="53" spans="1:9" ht="25.5">
      <c r="A53" s="401" t="s">
        <v>1967</v>
      </c>
      <c r="B53" s="800" t="s">
        <v>501</v>
      </c>
      <c r="C53" s="317" t="s">
        <v>2067</v>
      </c>
      <c r="D53" s="328" t="s">
        <v>1248</v>
      </c>
      <c r="E53" s="359"/>
      <c r="F53" s="359"/>
      <c r="G53" s="359"/>
      <c r="H53" s="359">
        <v>0</v>
      </c>
    </row>
    <row r="54" spans="1:9">
      <c r="A54" s="401" t="s">
        <v>1969</v>
      </c>
      <c r="B54" s="800" t="s">
        <v>502</v>
      </c>
      <c r="C54" s="317" t="s">
        <v>1398</v>
      </c>
      <c r="D54" s="328" t="s">
        <v>1248</v>
      </c>
      <c r="E54" s="359"/>
      <c r="F54" s="359"/>
      <c r="G54" s="359"/>
      <c r="H54" s="359">
        <v>0</v>
      </c>
    </row>
    <row r="55" spans="1:9" ht="24">
      <c r="A55" s="402" t="s">
        <v>1970</v>
      </c>
      <c r="B55" s="799">
        <v>300100900100000</v>
      </c>
      <c r="C55" s="320" t="s">
        <v>2068</v>
      </c>
      <c r="D55" s="329" t="s">
        <v>1248</v>
      </c>
      <c r="E55" s="335">
        <f t="shared" si="0"/>
        <v>0</v>
      </c>
      <c r="F55" s="354"/>
      <c r="G55" s="354"/>
      <c r="H55" s="335">
        <v>0</v>
      </c>
      <c r="I55" s="217"/>
    </row>
    <row r="56" spans="1:9">
      <c r="A56" s="402" t="s">
        <v>1970</v>
      </c>
      <c r="B56" s="799">
        <v>300100900150000</v>
      </c>
      <c r="C56" s="320" t="s">
        <v>2069</v>
      </c>
      <c r="D56" s="329" t="s">
        <v>1248</v>
      </c>
      <c r="E56" s="335">
        <f t="shared" si="0"/>
        <v>0</v>
      </c>
      <c r="F56" s="354"/>
      <c r="G56" s="354"/>
      <c r="H56" s="335">
        <v>0</v>
      </c>
      <c r="I56" s="217"/>
    </row>
    <row r="57" spans="1:9" ht="24">
      <c r="A57" s="402" t="s">
        <v>1970</v>
      </c>
      <c r="B57" s="799">
        <v>300100900200000</v>
      </c>
      <c r="C57" s="320" t="s">
        <v>2070</v>
      </c>
      <c r="D57" s="329" t="s">
        <v>1248</v>
      </c>
      <c r="E57" s="335">
        <f t="shared" si="0"/>
        <v>0</v>
      </c>
      <c r="F57" s="354"/>
      <c r="G57" s="354"/>
      <c r="H57" s="335">
        <v>0</v>
      </c>
      <c r="I57" s="217"/>
    </row>
    <row r="58" spans="1:9">
      <c r="A58" s="401" t="s">
        <v>1969</v>
      </c>
      <c r="B58" s="800" t="s">
        <v>503</v>
      </c>
      <c r="C58" s="317" t="s">
        <v>1399</v>
      </c>
      <c r="D58" s="328" t="s">
        <v>1248</v>
      </c>
      <c r="E58" s="359"/>
      <c r="F58" s="359"/>
      <c r="G58" s="359"/>
      <c r="H58" s="359">
        <v>0</v>
      </c>
    </row>
    <row r="59" spans="1:9">
      <c r="A59" s="402" t="s">
        <v>1970</v>
      </c>
      <c r="B59" s="799">
        <v>300100900300000</v>
      </c>
      <c r="C59" s="320" t="s">
        <v>2071</v>
      </c>
      <c r="D59" s="329" t="s">
        <v>1248</v>
      </c>
      <c r="E59" s="335">
        <f t="shared" si="0"/>
        <v>0</v>
      </c>
      <c r="F59" s="354"/>
      <c r="G59" s="354"/>
      <c r="H59" s="335">
        <v>0</v>
      </c>
      <c r="I59" s="217"/>
    </row>
    <row r="60" spans="1:9" ht="24">
      <c r="A60" s="402" t="s">
        <v>1970</v>
      </c>
      <c r="B60" s="799">
        <v>300100900350000</v>
      </c>
      <c r="C60" s="320" t="s">
        <v>2072</v>
      </c>
      <c r="D60" s="329" t="s">
        <v>1248</v>
      </c>
      <c r="E60" s="335">
        <f t="shared" si="0"/>
        <v>0</v>
      </c>
      <c r="F60" s="354"/>
      <c r="G60" s="354"/>
      <c r="H60" s="335">
        <v>0</v>
      </c>
      <c r="I60" s="217"/>
    </row>
    <row r="61" spans="1:9" ht="24">
      <c r="A61" s="402" t="s">
        <v>1970</v>
      </c>
      <c r="B61" s="799">
        <v>300100900400000</v>
      </c>
      <c r="C61" s="320" t="s">
        <v>2073</v>
      </c>
      <c r="D61" s="329" t="s">
        <v>1248</v>
      </c>
      <c r="E61" s="335">
        <f t="shared" si="0"/>
        <v>0</v>
      </c>
      <c r="F61" s="354"/>
      <c r="G61" s="354"/>
      <c r="H61" s="335">
        <v>0</v>
      </c>
      <c r="I61" s="217"/>
    </row>
    <row r="62" spans="1:9">
      <c r="A62" s="401" t="s">
        <v>1969</v>
      </c>
      <c r="B62" s="800" t="s">
        <v>504</v>
      </c>
      <c r="C62" s="317" t="s">
        <v>1400</v>
      </c>
      <c r="D62" s="328" t="s">
        <v>1248</v>
      </c>
      <c r="E62" s="359"/>
      <c r="F62" s="359"/>
      <c r="G62" s="359"/>
      <c r="H62" s="359">
        <v>0</v>
      </c>
    </row>
    <row r="63" spans="1:9">
      <c r="A63" s="402" t="s">
        <v>1970</v>
      </c>
      <c r="B63" s="799">
        <v>300100900450000</v>
      </c>
      <c r="C63" s="320" t="s">
        <v>2074</v>
      </c>
      <c r="D63" s="329" t="s">
        <v>1248</v>
      </c>
      <c r="E63" s="335">
        <f t="shared" si="0"/>
        <v>0</v>
      </c>
      <c r="F63" s="354"/>
      <c r="G63" s="354"/>
      <c r="H63" s="335">
        <v>0</v>
      </c>
      <c r="I63" s="217"/>
    </row>
    <row r="64" spans="1:9">
      <c r="A64" s="401" t="s">
        <v>1969</v>
      </c>
      <c r="B64" s="800" t="s">
        <v>505</v>
      </c>
      <c r="C64" s="317" t="s">
        <v>1401</v>
      </c>
      <c r="D64" s="328" t="s">
        <v>1248</v>
      </c>
      <c r="E64" s="359"/>
      <c r="F64" s="359"/>
      <c r="G64" s="359"/>
      <c r="H64" s="359">
        <v>0</v>
      </c>
    </row>
    <row r="65" spans="1:9" ht="24">
      <c r="A65" s="402" t="s">
        <v>1970</v>
      </c>
      <c r="B65" s="799">
        <v>300100900500000</v>
      </c>
      <c r="C65" s="320" t="s">
        <v>2075</v>
      </c>
      <c r="D65" s="329" t="s">
        <v>1248</v>
      </c>
      <c r="E65" s="335">
        <f t="shared" si="0"/>
        <v>0</v>
      </c>
      <c r="F65" s="354"/>
      <c r="G65" s="354"/>
      <c r="H65" s="335">
        <v>0</v>
      </c>
      <c r="I65" s="217"/>
    </row>
    <row r="66" spans="1:9">
      <c r="A66" s="401" t="s">
        <v>1969</v>
      </c>
      <c r="B66" s="800" t="s">
        <v>506</v>
      </c>
      <c r="C66" s="317" t="s">
        <v>1402</v>
      </c>
      <c r="D66" s="328" t="s">
        <v>1248</v>
      </c>
      <c r="E66" s="359"/>
      <c r="F66" s="359"/>
      <c r="G66" s="359"/>
      <c r="H66" s="359">
        <v>0</v>
      </c>
    </row>
    <row r="67" spans="1:9">
      <c r="A67" s="402" t="s">
        <v>1970</v>
      </c>
      <c r="B67" s="799">
        <v>300100900550000</v>
      </c>
      <c r="C67" s="320" t="s">
        <v>2076</v>
      </c>
      <c r="D67" s="329" t="s">
        <v>1248</v>
      </c>
      <c r="E67" s="335">
        <f t="shared" si="0"/>
        <v>0</v>
      </c>
      <c r="F67" s="354"/>
      <c r="G67" s="354"/>
      <c r="H67" s="335">
        <v>0</v>
      </c>
      <c r="I67" s="217"/>
    </row>
    <row r="68" spans="1:9">
      <c r="A68" s="401" t="s">
        <v>1969</v>
      </c>
      <c r="B68" s="800" t="s">
        <v>507</v>
      </c>
      <c r="C68" s="317" t="s">
        <v>1403</v>
      </c>
      <c r="D68" s="328" t="s">
        <v>1248</v>
      </c>
      <c r="E68" s="359"/>
      <c r="F68" s="359"/>
      <c r="G68" s="359"/>
      <c r="H68" s="359">
        <v>0</v>
      </c>
    </row>
    <row r="69" spans="1:9" ht="24">
      <c r="A69" s="402" t="s">
        <v>1970</v>
      </c>
      <c r="B69" s="799">
        <v>300100900600000</v>
      </c>
      <c r="C69" s="320" t="s">
        <v>2077</v>
      </c>
      <c r="D69" s="329" t="s">
        <v>1248</v>
      </c>
      <c r="E69" s="335">
        <f t="shared" si="0"/>
        <v>0</v>
      </c>
      <c r="F69" s="354"/>
      <c r="G69" s="354"/>
      <c r="H69" s="335">
        <v>0</v>
      </c>
      <c r="I69" s="217"/>
    </row>
    <row r="70" spans="1:9">
      <c r="A70" s="401" t="s">
        <v>1969</v>
      </c>
      <c r="B70" s="800" t="s">
        <v>508</v>
      </c>
      <c r="C70" s="317" t="s">
        <v>1404</v>
      </c>
      <c r="D70" s="328" t="s">
        <v>1248</v>
      </c>
      <c r="E70" s="359"/>
      <c r="F70" s="359"/>
      <c r="G70" s="359"/>
      <c r="H70" s="359">
        <v>0</v>
      </c>
    </row>
    <row r="71" spans="1:9">
      <c r="A71" s="402" t="s">
        <v>1970</v>
      </c>
      <c r="B71" s="799">
        <v>300100900900000</v>
      </c>
      <c r="C71" s="320" t="s">
        <v>2078</v>
      </c>
      <c r="D71" s="329" t="s">
        <v>1248</v>
      </c>
      <c r="E71" s="335">
        <f t="shared" ref="E71:E133" si="1">+F71+G71</f>
        <v>0</v>
      </c>
      <c r="F71" s="354"/>
      <c r="G71" s="354"/>
      <c r="H71" s="335">
        <v>0</v>
      </c>
      <c r="I71" s="217"/>
    </row>
    <row r="72" spans="1:9">
      <c r="A72" s="401" t="s">
        <v>1965</v>
      </c>
      <c r="B72" s="800" t="s">
        <v>509</v>
      </c>
      <c r="C72" s="317" t="s">
        <v>2079</v>
      </c>
      <c r="D72" s="328"/>
      <c r="E72" s="359"/>
      <c r="F72" s="359"/>
      <c r="G72" s="359"/>
      <c r="H72" s="359">
        <v>0</v>
      </c>
    </row>
    <row r="73" spans="1:9">
      <c r="A73" s="401" t="s">
        <v>1967</v>
      </c>
      <c r="B73" s="800" t="s">
        <v>511</v>
      </c>
      <c r="C73" s="317" t="s">
        <v>2080</v>
      </c>
      <c r="D73" s="328"/>
      <c r="E73" s="359"/>
      <c r="F73" s="359"/>
      <c r="G73" s="359"/>
      <c r="H73" s="359">
        <v>0</v>
      </c>
    </row>
    <row r="74" spans="1:9">
      <c r="A74" s="402">
        <v>6</v>
      </c>
      <c r="B74" s="799">
        <v>300200100000000</v>
      </c>
      <c r="C74" s="320" t="s">
        <v>510</v>
      </c>
      <c r="D74" s="329"/>
      <c r="E74" s="335">
        <f t="shared" si="1"/>
        <v>102996.76</v>
      </c>
      <c r="F74" s="354">
        <v>102996.76</v>
      </c>
      <c r="G74" s="354"/>
      <c r="H74" s="335">
        <v>91474.57</v>
      </c>
      <c r="I74" s="217"/>
    </row>
    <row r="75" spans="1:9">
      <c r="A75" s="402">
        <v>6</v>
      </c>
      <c r="B75" s="799">
        <v>300200100100000</v>
      </c>
      <c r="C75" s="320" t="s">
        <v>1947</v>
      </c>
      <c r="D75" s="329"/>
      <c r="E75" s="335">
        <f t="shared" si="1"/>
        <v>87.82</v>
      </c>
      <c r="F75" s="354">
        <v>87.82</v>
      </c>
      <c r="G75" s="354"/>
      <c r="H75" s="335">
        <v>26.77</v>
      </c>
      <c r="I75" s="217"/>
    </row>
    <row r="76" spans="1:9" ht="25.5">
      <c r="A76" s="401" t="s">
        <v>1967</v>
      </c>
      <c r="B76" s="800" t="s">
        <v>513</v>
      </c>
      <c r="C76" s="317" t="s">
        <v>2081</v>
      </c>
      <c r="D76" s="328"/>
      <c r="E76" s="359"/>
      <c r="F76" s="359"/>
      <c r="G76" s="359"/>
      <c r="H76" s="359">
        <v>0</v>
      </c>
    </row>
    <row r="77" spans="1:9">
      <c r="A77" s="402" t="s">
        <v>1969</v>
      </c>
      <c r="B77" s="799">
        <v>300200200000000</v>
      </c>
      <c r="C77" s="320" t="s">
        <v>512</v>
      </c>
      <c r="D77" s="329"/>
      <c r="E77" s="335">
        <f t="shared" si="1"/>
        <v>3486515.24</v>
      </c>
      <c r="F77" s="354">
        <v>3486515.24</v>
      </c>
      <c r="G77" s="354"/>
      <c r="H77" s="335">
        <v>4635709.8099999996</v>
      </c>
      <c r="I77" s="217"/>
    </row>
    <row r="78" spans="1:9" ht="24">
      <c r="A78" s="402">
        <v>6</v>
      </c>
      <c r="B78" s="799">
        <v>300200200100000</v>
      </c>
      <c r="C78" s="320" t="s">
        <v>1948</v>
      </c>
      <c r="D78" s="329"/>
      <c r="E78" s="335">
        <f t="shared" si="1"/>
        <v>749.31</v>
      </c>
      <c r="F78" s="354">
        <v>749.31</v>
      </c>
      <c r="G78" s="354"/>
      <c r="H78" s="335">
        <v>410.6</v>
      </c>
      <c r="I78" s="217"/>
    </row>
    <row r="79" spans="1:9">
      <c r="A79" s="401" t="s">
        <v>1967</v>
      </c>
      <c r="B79" s="800" t="s">
        <v>515</v>
      </c>
      <c r="C79" s="317" t="s">
        <v>2082</v>
      </c>
      <c r="D79" s="328"/>
      <c r="E79" s="359"/>
      <c r="F79" s="359"/>
      <c r="G79" s="359"/>
      <c r="H79" s="359">
        <v>0</v>
      </c>
    </row>
    <row r="80" spans="1:9">
      <c r="A80" s="402" t="s">
        <v>1969</v>
      </c>
      <c r="B80" s="799">
        <v>300200300000000</v>
      </c>
      <c r="C80" s="320" t="s">
        <v>514</v>
      </c>
      <c r="D80" s="329"/>
      <c r="E80" s="335">
        <f t="shared" si="1"/>
        <v>5852.28</v>
      </c>
      <c r="F80" s="354">
        <v>5852.28</v>
      </c>
      <c r="G80" s="354"/>
      <c r="H80" s="335">
        <v>6092.42</v>
      </c>
      <c r="I80" s="217"/>
    </row>
    <row r="81" spans="1:9" ht="24">
      <c r="A81" s="402">
        <v>6</v>
      </c>
      <c r="B81" s="799">
        <v>300200300100000</v>
      </c>
      <c r="C81" s="320" t="s">
        <v>1949</v>
      </c>
      <c r="D81" s="329"/>
      <c r="E81" s="335">
        <f t="shared" si="1"/>
        <v>0</v>
      </c>
      <c r="F81" s="354"/>
      <c r="G81" s="354"/>
      <c r="H81" s="335">
        <v>0</v>
      </c>
      <c r="I81" s="217"/>
    </row>
    <row r="82" spans="1:9">
      <c r="A82" s="401" t="s">
        <v>1967</v>
      </c>
      <c r="B82" s="800" t="s">
        <v>516</v>
      </c>
      <c r="C82" s="317" t="s">
        <v>2083</v>
      </c>
      <c r="D82" s="328"/>
      <c r="E82" s="359"/>
      <c r="F82" s="359"/>
      <c r="G82" s="359"/>
      <c r="H82" s="359">
        <v>0</v>
      </c>
    </row>
    <row r="83" spans="1:9">
      <c r="A83" s="402">
        <v>6</v>
      </c>
      <c r="B83" s="799">
        <v>300200400100000</v>
      </c>
      <c r="C83" s="320" t="s">
        <v>517</v>
      </c>
      <c r="D83" s="329"/>
      <c r="E83" s="335">
        <f t="shared" si="1"/>
        <v>1526675.13</v>
      </c>
      <c r="F83" s="354">
        <v>1526675.13</v>
      </c>
      <c r="G83" s="354"/>
      <c r="H83" s="335">
        <v>1522542.18</v>
      </c>
      <c r="I83" s="217"/>
    </row>
    <row r="84" spans="1:9">
      <c r="A84" s="402">
        <v>6</v>
      </c>
      <c r="B84" s="799">
        <v>300200400200000</v>
      </c>
      <c r="C84" s="320" t="s">
        <v>518</v>
      </c>
      <c r="D84" s="329"/>
      <c r="E84" s="335">
        <f t="shared" si="1"/>
        <v>1187767.7</v>
      </c>
      <c r="F84" s="354">
        <v>1187767.7</v>
      </c>
      <c r="G84" s="354"/>
      <c r="H84" s="335">
        <v>1039322.9</v>
      </c>
      <c r="I84" s="217"/>
    </row>
    <row r="85" spans="1:9">
      <c r="A85" s="402">
        <v>6</v>
      </c>
      <c r="B85" s="799">
        <v>300200400300000</v>
      </c>
      <c r="C85" s="320" t="s">
        <v>519</v>
      </c>
      <c r="D85" s="329"/>
      <c r="E85" s="335">
        <f t="shared" si="1"/>
        <v>284</v>
      </c>
      <c r="F85" s="354">
        <v>284</v>
      </c>
      <c r="G85" s="354"/>
      <c r="H85" s="335">
        <v>4185.3999999999996</v>
      </c>
      <c r="I85" s="217"/>
    </row>
    <row r="86" spans="1:9" ht="24">
      <c r="A86" s="402">
        <v>6</v>
      </c>
      <c r="B86" s="799">
        <v>300200400400000</v>
      </c>
      <c r="C86" s="320" t="s">
        <v>1950</v>
      </c>
      <c r="D86" s="329"/>
      <c r="E86" s="335">
        <f t="shared" si="1"/>
        <v>1490.68</v>
      </c>
      <c r="F86" s="354">
        <v>1490.68</v>
      </c>
      <c r="G86" s="354"/>
      <c r="H86" s="335">
        <v>1073.45</v>
      </c>
      <c r="I86" s="217"/>
    </row>
    <row r="87" spans="1:9">
      <c r="A87" s="401" t="s">
        <v>1967</v>
      </c>
      <c r="B87" s="800" t="s">
        <v>520</v>
      </c>
      <c r="C87" s="317" t="s">
        <v>2084</v>
      </c>
      <c r="D87" s="328"/>
      <c r="E87" s="359"/>
      <c r="F87" s="359"/>
      <c r="G87" s="359"/>
      <c r="H87" s="359">
        <v>0</v>
      </c>
    </row>
    <row r="88" spans="1:9">
      <c r="A88" s="402">
        <v>6</v>
      </c>
      <c r="B88" s="799">
        <v>300200500100000</v>
      </c>
      <c r="C88" s="320" t="s">
        <v>521</v>
      </c>
      <c r="D88" s="329"/>
      <c r="E88" s="335">
        <f t="shared" si="1"/>
        <v>32859.410000000003</v>
      </c>
      <c r="F88" s="354">
        <v>32859.410000000003</v>
      </c>
      <c r="G88" s="354"/>
      <c r="H88" s="335">
        <v>2323.5</v>
      </c>
      <c r="I88" s="217"/>
    </row>
    <row r="89" spans="1:9">
      <c r="A89" s="402">
        <v>6</v>
      </c>
      <c r="B89" s="799">
        <v>300200500200000</v>
      </c>
      <c r="C89" s="320" t="s">
        <v>522</v>
      </c>
      <c r="D89" s="329"/>
      <c r="E89" s="335">
        <f t="shared" si="1"/>
        <v>3605.38</v>
      </c>
      <c r="F89" s="354">
        <v>3605.38</v>
      </c>
      <c r="G89" s="354"/>
      <c r="H89" s="335">
        <v>1367.43</v>
      </c>
      <c r="I89" s="217"/>
    </row>
    <row r="90" spans="1:9" ht="24">
      <c r="A90" s="402">
        <v>6</v>
      </c>
      <c r="B90" s="799">
        <v>300200500300000</v>
      </c>
      <c r="C90" s="320" t="s">
        <v>1951</v>
      </c>
      <c r="D90" s="329"/>
      <c r="E90" s="335">
        <f t="shared" si="1"/>
        <v>0</v>
      </c>
      <c r="F90" s="354"/>
      <c r="G90" s="354"/>
      <c r="H90" s="335">
        <v>0</v>
      </c>
      <c r="I90" s="217"/>
    </row>
    <row r="91" spans="1:9">
      <c r="A91" s="401" t="s">
        <v>1967</v>
      </c>
      <c r="B91" s="800" t="s">
        <v>524</v>
      </c>
      <c r="C91" s="317" t="s">
        <v>2085</v>
      </c>
      <c r="D91" s="328"/>
      <c r="E91" s="359"/>
      <c r="F91" s="359"/>
      <c r="G91" s="359"/>
      <c r="H91" s="359">
        <v>0</v>
      </c>
    </row>
    <row r="92" spans="1:9">
      <c r="A92" s="402" t="s">
        <v>1969</v>
      </c>
      <c r="B92" s="799">
        <v>300200600000000</v>
      </c>
      <c r="C92" s="320" t="s">
        <v>523</v>
      </c>
      <c r="D92" s="329"/>
      <c r="E92" s="335">
        <f t="shared" si="1"/>
        <v>68097.98</v>
      </c>
      <c r="F92" s="354">
        <v>68097.98</v>
      </c>
      <c r="G92" s="354"/>
      <c r="H92" s="335">
        <v>67144.47</v>
      </c>
      <c r="I92" s="217"/>
    </row>
    <row r="93" spans="1:9" ht="24">
      <c r="A93" s="402">
        <v>6</v>
      </c>
      <c r="B93" s="799">
        <v>300200600100000</v>
      </c>
      <c r="C93" s="320" t="s">
        <v>1952</v>
      </c>
      <c r="D93" s="329"/>
      <c r="E93" s="335">
        <f t="shared" si="1"/>
        <v>9.7200000000000006</v>
      </c>
      <c r="F93" s="354">
        <v>9.7200000000000006</v>
      </c>
      <c r="G93" s="354"/>
      <c r="H93" s="335">
        <v>3.6</v>
      </c>
      <c r="I93" s="217"/>
    </row>
    <row r="94" spans="1:9" ht="25.5">
      <c r="A94" s="401" t="s">
        <v>1967</v>
      </c>
      <c r="B94" s="800" t="s">
        <v>525</v>
      </c>
      <c r="C94" s="317" t="s">
        <v>2086</v>
      </c>
      <c r="D94" s="328" t="s">
        <v>1248</v>
      </c>
      <c r="E94" s="359"/>
      <c r="F94" s="359"/>
      <c r="G94" s="359"/>
      <c r="H94" s="359">
        <v>0</v>
      </c>
    </row>
    <row r="95" spans="1:9">
      <c r="A95" s="402">
        <v>6</v>
      </c>
      <c r="B95" s="799">
        <v>300200700100000</v>
      </c>
      <c r="C95" s="320" t="s">
        <v>2087</v>
      </c>
      <c r="D95" s="329" t="s">
        <v>1248</v>
      </c>
      <c r="E95" s="335">
        <f t="shared" si="1"/>
        <v>0</v>
      </c>
      <c r="F95" s="354"/>
      <c r="G95" s="354"/>
      <c r="H95" s="335">
        <v>0</v>
      </c>
      <c r="I95" s="217"/>
    </row>
    <row r="96" spans="1:9" ht="24">
      <c r="A96" s="402">
        <v>6</v>
      </c>
      <c r="B96" s="799">
        <v>300200700200000</v>
      </c>
      <c r="C96" s="320" t="s">
        <v>2088</v>
      </c>
      <c r="D96" s="329" t="s">
        <v>1248</v>
      </c>
      <c r="E96" s="335">
        <f t="shared" si="1"/>
        <v>0</v>
      </c>
      <c r="F96" s="354"/>
      <c r="G96" s="354"/>
      <c r="H96" s="335">
        <v>0</v>
      </c>
      <c r="I96" s="217"/>
    </row>
    <row r="97" spans="1:9" ht="24">
      <c r="A97" s="402">
        <v>6</v>
      </c>
      <c r="B97" s="799">
        <v>300200700300000</v>
      </c>
      <c r="C97" s="320" t="s">
        <v>2089</v>
      </c>
      <c r="D97" s="329" t="s">
        <v>1248</v>
      </c>
      <c r="E97" s="335">
        <f t="shared" si="1"/>
        <v>0</v>
      </c>
      <c r="F97" s="354"/>
      <c r="G97" s="354"/>
      <c r="H97" s="335">
        <v>0</v>
      </c>
      <c r="I97" s="217"/>
    </row>
    <row r="98" spans="1:9" ht="24">
      <c r="A98" s="402">
        <v>6</v>
      </c>
      <c r="B98" s="799">
        <v>300200700400000</v>
      </c>
      <c r="C98" s="320" t="s">
        <v>2090</v>
      </c>
      <c r="D98" s="329" t="s">
        <v>1248</v>
      </c>
      <c r="E98" s="335">
        <f t="shared" si="1"/>
        <v>0</v>
      </c>
      <c r="F98" s="354"/>
      <c r="G98" s="354"/>
      <c r="H98" s="335">
        <v>0</v>
      </c>
      <c r="I98" s="217"/>
    </row>
    <row r="99" spans="1:9" ht="24">
      <c r="A99" s="402">
        <v>6</v>
      </c>
      <c r="B99" s="799">
        <v>300200700500000</v>
      </c>
      <c r="C99" s="320" t="s">
        <v>2091</v>
      </c>
      <c r="D99" s="329" t="s">
        <v>1248</v>
      </c>
      <c r="E99" s="335">
        <f t="shared" si="1"/>
        <v>0</v>
      </c>
      <c r="F99" s="354"/>
      <c r="G99" s="354"/>
      <c r="H99" s="335">
        <v>0</v>
      </c>
      <c r="I99" s="217"/>
    </row>
    <row r="100" spans="1:9" ht="24">
      <c r="A100" s="402">
        <v>6</v>
      </c>
      <c r="B100" s="799">
        <v>300200700900000</v>
      </c>
      <c r="C100" s="320" t="s">
        <v>2092</v>
      </c>
      <c r="D100" s="329" t="s">
        <v>1248</v>
      </c>
      <c r="E100" s="335">
        <f t="shared" si="1"/>
        <v>0</v>
      </c>
      <c r="F100" s="354"/>
      <c r="G100" s="354"/>
      <c r="H100" s="335">
        <v>0</v>
      </c>
      <c r="I100" s="217"/>
    </row>
    <row r="101" spans="1:9">
      <c r="A101" s="401" t="s">
        <v>1963</v>
      </c>
      <c r="B101" s="800" t="s">
        <v>526</v>
      </c>
      <c r="C101" s="317" t="s">
        <v>2093</v>
      </c>
      <c r="D101" s="328"/>
      <c r="E101" s="359"/>
      <c r="F101" s="359"/>
      <c r="G101" s="359"/>
      <c r="H101" s="359">
        <v>0</v>
      </c>
    </row>
    <row r="102" spans="1:9">
      <c r="A102" s="401" t="s">
        <v>1965</v>
      </c>
      <c r="B102" s="800" t="s">
        <v>527</v>
      </c>
      <c r="C102" s="317" t="s">
        <v>2094</v>
      </c>
      <c r="D102" s="328"/>
      <c r="E102" s="359"/>
      <c r="F102" s="359"/>
      <c r="G102" s="359"/>
      <c r="H102" s="359">
        <v>0</v>
      </c>
    </row>
    <row r="103" spans="1:9">
      <c r="A103" s="401" t="s">
        <v>1967</v>
      </c>
      <c r="B103" s="800" t="s">
        <v>528</v>
      </c>
      <c r="C103" s="317" t="s">
        <v>2095</v>
      </c>
      <c r="D103" s="328"/>
      <c r="E103" s="359"/>
      <c r="F103" s="359"/>
      <c r="G103" s="359"/>
      <c r="H103" s="359">
        <v>0</v>
      </c>
    </row>
    <row r="104" spans="1:9">
      <c r="A104" s="401" t="s">
        <v>1969</v>
      </c>
      <c r="B104" s="800" t="s">
        <v>529</v>
      </c>
      <c r="C104" s="317" t="s">
        <v>1416</v>
      </c>
      <c r="D104" s="328"/>
      <c r="E104" s="359"/>
      <c r="F104" s="359"/>
      <c r="G104" s="359"/>
      <c r="H104" s="359">
        <v>0</v>
      </c>
    </row>
    <row r="105" spans="1:9">
      <c r="A105" s="401" t="s">
        <v>1970</v>
      </c>
      <c r="B105" s="800" t="s">
        <v>530</v>
      </c>
      <c r="C105" s="317" t="s">
        <v>1417</v>
      </c>
      <c r="D105" s="328"/>
      <c r="E105" s="359"/>
      <c r="F105" s="359"/>
      <c r="G105" s="359"/>
      <c r="H105" s="359">
        <v>0</v>
      </c>
    </row>
    <row r="106" spans="1:9">
      <c r="A106" s="402">
        <v>8</v>
      </c>
      <c r="B106" s="799">
        <v>305100050101005</v>
      </c>
      <c r="C106" s="320" t="s">
        <v>2096</v>
      </c>
      <c r="D106" s="329"/>
      <c r="E106" s="335">
        <f t="shared" si="1"/>
        <v>0</v>
      </c>
      <c r="F106" s="354"/>
      <c r="G106" s="354"/>
      <c r="H106" s="335">
        <v>0</v>
      </c>
      <c r="I106" s="217"/>
    </row>
    <row r="107" spans="1:9">
      <c r="A107" s="402">
        <v>8</v>
      </c>
      <c r="B107" s="799">
        <v>305100050101010</v>
      </c>
      <c r="C107" s="320" t="s">
        <v>2097</v>
      </c>
      <c r="D107" s="329"/>
      <c r="E107" s="335">
        <f t="shared" si="1"/>
        <v>0</v>
      </c>
      <c r="F107" s="354"/>
      <c r="G107" s="354"/>
      <c r="H107" s="335">
        <v>0</v>
      </c>
      <c r="I107" s="217"/>
    </row>
    <row r="108" spans="1:9">
      <c r="A108" s="402">
        <v>8</v>
      </c>
      <c r="B108" s="799">
        <v>305100050101015</v>
      </c>
      <c r="C108" s="320" t="s">
        <v>2098</v>
      </c>
      <c r="D108" s="329"/>
      <c r="E108" s="335">
        <f t="shared" si="1"/>
        <v>0</v>
      </c>
      <c r="F108" s="354"/>
      <c r="G108" s="354"/>
      <c r="H108" s="335">
        <v>0</v>
      </c>
      <c r="I108" s="217"/>
    </row>
    <row r="109" spans="1:9">
      <c r="A109" s="402">
        <v>8</v>
      </c>
      <c r="B109" s="799">
        <v>305100050101020</v>
      </c>
      <c r="C109" s="320" t="s">
        <v>2099</v>
      </c>
      <c r="D109" s="329"/>
      <c r="E109" s="335">
        <f t="shared" si="1"/>
        <v>0</v>
      </c>
      <c r="F109" s="354"/>
      <c r="G109" s="354"/>
      <c r="H109" s="335">
        <v>0</v>
      </c>
      <c r="I109" s="217"/>
    </row>
    <row r="110" spans="1:9">
      <c r="A110" s="402">
        <v>8</v>
      </c>
      <c r="B110" s="799">
        <v>305100050101025</v>
      </c>
      <c r="C110" s="320" t="s">
        <v>2100</v>
      </c>
      <c r="D110" s="329"/>
      <c r="E110" s="335">
        <f t="shared" si="1"/>
        <v>0</v>
      </c>
      <c r="F110" s="354"/>
      <c r="G110" s="354"/>
      <c r="H110" s="335">
        <v>0</v>
      </c>
      <c r="I110" s="217"/>
    </row>
    <row r="111" spans="1:9">
      <c r="A111" s="402">
        <v>8</v>
      </c>
      <c r="B111" s="799">
        <v>305100050101030</v>
      </c>
      <c r="C111" s="320" t="s">
        <v>2101</v>
      </c>
      <c r="D111" s="329"/>
      <c r="E111" s="335">
        <f t="shared" si="1"/>
        <v>0</v>
      </c>
      <c r="F111" s="354"/>
      <c r="G111" s="354"/>
      <c r="H111" s="335">
        <v>0</v>
      </c>
      <c r="I111" s="217"/>
    </row>
    <row r="112" spans="1:9">
      <c r="A112" s="402">
        <v>8</v>
      </c>
      <c r="B112" s="799">
        <v>305100050101035</v>
      </c>
      <c r="C112" s="320" t="s">
        <v>2102</v>
      </c>
      <c r="D112" s="329"/>
      <c r="E112" s="335">
        <f t="shared" si="1"/>
        <v>0</v>
      </c>
      <c r="F112" s="354"/>
      <c r="G112" s="354"/>
      <c r="H112" s="335">
        <v>0</v>
      </c>
      <c r="I112" s="217"/>
    </row>
    <row r="113" spans="1:9">
      <c r="A113" s="402">
        <v>8</v>
      </c>
      <c r="B113" s="799">
        <v>305100050101040</v>
      </c>
      <c r="C113" s="320" t="s">
        <v>2103</v>
      </c>
      <c r="D113" s="329"/>
      <c r="E113" s="335">
        <f t="shared" si="1"/>
        <v>0</v>
      </c>
      <c r="F113" s="354"/>
      <c r="G113" s="354"/>
      <c r="H113" s="335">
        <v>0</v>
      </c>
      <c r="I113" s="217"/>
    </row>
    <row r="114" spans="1:9">
      <c r="A114" s="402">
        <v>8</v>
      </c>
      <c r="B114" s="799">
        <v>305100050101045</v>
      </c>
      <c r="C114" s="320" t="s">
        <v>2104</v>
      </c>
      <c r="D114" s="329"/>
      <c r="E114" s="335">
        <f t="shared" si="1"/>
        <v>0</v>
      </c>
      <c r="F114" s="354"/>
      <c r="G114" s="354"/>
      <c r="H114" s="335">
        <v>0</v>
      </c>
      <c r="I114" s="217"/>
    </row>
    <row r="115" spans="1:9">
      <c r="A115" s="402">
        <v>8</v>
      </c>
      <c r="B115" s="799">
        <v>305100050101050</v>
      </c>
      <c r="C115" s="320" t="s">
        <v>2105</v>
      </c>
      <c r="D115" s="329"/>
      <c r="E115" s="335">
        <f t="shared" si="1"/>
        <v>0</v>
      </c>
      <c r="F115" s="354"/>
      <c r="G115" s="354"/>
      <c r="H115" s="335">
        <v>0</v>
      </c>
      <c r="I115" s="217"/>
    </row>
    <row r="116" spans="1:9">
      <c r="A116" s="402">
        <v>8</v>
      </c>
      <c r="B116" s="799">
        <v>305100050101055</v>
      </c>
      <c r="C116" s="320" t="s">
        <v>2106</v>
      </c>
      <c r="D116" s="329"/>
      <c r="E116" s="335">
        <f t="shared" si="1"/>
        <v>0</v>
      </c>
      <c r="F116" s="354"/>
      <c r="G116" s="354"/>
      <c r="H116" s="335">
        <v>0</v>
      </c>
      <c r="I116" s="217"/>
    </row>
    <row r="117" spans="1:9">
      <c r="A117" s="401" t="s">
        <v>1970</v>
      </c>
      <c r="B117" s="800" t="s">
        <v>531</v>
      </c>
      <c r="C117" s="317" t="s">
        <v>1418</v>
      </c>
      <c r="D117" s="328"/>
      <c r="E117" s="359"/>
      <c r="F117" s="359"/>
      <c r="G117" s="359"/>
      <c r="H117" s="359">
        <v>0</v>
      </c>
    </row>
    <row r="118" spans="1:9">
      <c r="A118" s="402">
        <v>8</v>
      </c>
      <c r="B118" s="799">
        <v>305100050102005</v>
      </c>
      <c r="C118" s="320" t="s">
        <v>2107</v>
      </c>
      <c r="D118" s="329"/>
      <c r="E118" s="335">
        <f t="shared" si="1"/>
        <v>0</v>
      </c>
      <c r="F118" s="354"/>
      <c r="G118" s="354"/>
      <c r="H118" s="335">
        <v>0</v>
      </c>
      <c r="I118" s="217"/>
    </row>
    <row r="119" spans="1:9">
      <c r="A119" s="402">
        <v>8</v>
      </c>
      <c r="B119" s="799">
        <v>305100050102010</v>
      </c>
      <c r="C119" s="320" t="s">
        <v>2108</v>
      </c>
      <c r="D119" s="329"/>
      <c r="E119" s="335">
        <f t="shared" si="1"/>
        <v>0</v>
      </c>
      <c r="F119" s="354"/>
      <c r="G119" s="354"/>
      <c r="H119" s="335">
        <v>0</v>
      </c>
      <c r="I119" s="217"/>
    </row>
    <row r="120" spans="1:9">
      <c r="A120" s="402">
        <v>8</v>
      </c>
      <c r="B120" s="799">
        <v>305100050102015</v>
      </c>
      <c r="C120" s="320" t="s">
        <v>2109</v>
      </c>
      <c r="D120" s="329"/>
      <c r="E120" s="335">
        <f t="shared" si="1"/>
        <v>0</v>
      </c>
      <c r="F120" s="354"/>
      <c r="G120" s="354"/>
      <c r="H120" s="335">
        <v>0</v>
      </c>
      <c r="I120" s="217"/>
    </row>
    <row r="121" spans="1:9">
      <c r="A121" s="402">
        <v>8</v>
      </c>
      <c r="B121" s="799">
        <v>305100050102020</v>
      </c>
      <c r="C121" s="320" t="s">
        <v>2110</v>
      </c>
      <c r="D121" s="329"/>
      <c r="E121" s="335">
        <f t="shared" si="1"/>
        <v>0</v>
      </c>
      <c r="F121" s="354"/>
      <c r="G121" s="354"/>
      <c r="H121" s="335">
        <v>0</v>
      </c>
      <c r="I121" s="217"/>
    </row>
    <row r="122" spans="1:9">
      <c r="A122" s="402">
        <v>8</v>
      </c>
      <c r="B122" s="799">
        <v>305100050102025</v>
      </c>
      <c r="C122" s="320" t="s">
        <v>2111</v>
      </c>
      <c r="D122" s="329"/>
      <c r="E122" s="335">
        <f t="shared" si="1"/>
        <v>0</v>
      </c>
      <c r="F122" s="354"/>
      <c r="G122" s="354"/>
      <c r="H122" s="335">
        <v>0</v>
      </c>
      <c r="I122" s="217"/>
    </row>
    <row r="123" spans="1:9">
      <c r="A123" s="402">
        <v>8</v>
      </c>
      <c r="B123" s="799">
        <v>305100050102030</v>
      </c>
      <c r="C123" s="320" t="s">
        <v>2112</v>
      </c>
      <c r="D123" s="329"/>
      <c r="E123" s="335">
        <f t="shared" si="1"/>
        <v>0</v>
      </c>
      <c r="F123" s="354"/>
      <c r="G123" s="354"/>
      <c r="H123" s="335">
        <v>0</v>
      </c>
      <c r="I123" s="217"/>
    </row>
    <row r="124" spans="1:9">
      <c r="A124" s="402">
        <v>8</v>
      </c>
      <c r="B124" s="799">
        <v>305100050102035</v>
      </c>
      <c r="C124" s="320" t="s">
        <v>2113</v>
      </c>
      <c r="D124" s="329"/>
      <c r="E124" s="335">
        <f t="shared" si="1"/>
        <v>0</v>
      </c>
      <c r="F124" s="354"/>
      <c r="G124" s="354"/>
      <c r="H124" s="335">
        <v>0</v>
      </c>
      <c r="I124" s="217"/>
    </row>
    <row r="125" spans="1:9">
      <c r="A125" s="402">
        <v>8</v>
      </c>
      <c r="B125" s="799">
        <v>305100050102040</v>
      </c>
      <c r="C125" s="320" t="s">
        <v>2114</v>
      </c>
      <c r="D125" s="329"/>
      <c r="E125" s="335">
        <f t="shared" si="1"/>
        <v>0</v>
      </c>
      <c r="F125" s="354"/>
      <c r="G125" s="354"/>
      <c r="H125" s="335">
        <v>0</v>
      </c>
      <c r="I125" s="217"/>
    </row>
    <row r="126" spans="1:9">
      <c r="A126" s="402">
        <v>8</v>
      </c>
      <c r="B126" s="799">
        <v>305100050102045</v>
      </c>
      <c r="C126" s="320" t="s">
        <v>2115</v>
      </c>
      <c r="D126" s="329"/>
      <c r="E126" s="335">
        <f t="shared" si="1"/>
        <v>0</v>
      </c>
      <c r="F126" s="354"/>
      <c r="G126" s="354"/>
      <c r="H126" s="335">
        <v>0</v>
      </c>
      <c r="I126" s="217"/>
    </row>
    <row r="127" spans="1:9">
      <c r="A127" s="402">
        <v>8</v>
      </c>
      <c r="B127" s="799">
        <v>305100050102050</v>
      </c>
      <c r="C127" s="320" t="s">
        <v>2116</v>
      </c>
      <c r="D127" s="329"/>
      <c r="E127" s="335">
        <f t="shared" si="1"/>
        <v>0</v>
      </c>
      <c r="F127" s="354"/>
      <c r="G127" s="354"/>
      <c r="H127" s="335">
        <v>0</v>
      </c>
      <c r="I127" s="217"/>
    </row>
    <row r="128" spans="1:9">
      <c r="A128" s="402">
        <v>8</v>
      </c>
      <c r="B128" s="799">
        <v>305100050102055</v>
      </c>
      <c r="C128" s="320" t="s">
        <v>2117</v>
      </c>
      <c r="D128" s="329"/>
      <c r="E128" s="335">
        <f t="shared" si="1"/>
        <v>0</v>
      </c>
      <c r="F128" s="354"/>
      <c r="G128" s="354"/>
      <c r="H128" s="335">
        <v>0</v>
      </c>
      <c r="I128" s="217"/>
    </row>
    <row r="129" spans="1:9">
      <c r="A129" s="401" t="s">
        <v>1970</v>
      </c>
      <c r="B129" s="800" t="s">
        <v>532</v>
      </c>
      <c r="C129" s="317" t="s">
        <v>1419</v>
      </c>
      <c r="D129" s="328"/>
      <c r="E129" s="359"/>
      <c r="F129" s="359"/>
      <c r="G129" s="359"/>
      <c r="H129" s="359">
        <v>0</v>
      </c>
    </row>
    <row r="130" spans="1:9" ht="24">
      <c r="A130" s="402">
        <v>8</v>
      </c>
      <c r="B130" s="799">
        <v>305100050103005</v>
      </c>
      <c r="C130" s="320" t="s">
        <v>533</v>
      </c>
      <c r="D130" s="329"/>
      <c r="E130" s="335">
        <f t="shared" si="1"/>
        <v>0</v>
      </c>
      <c r="F130" s="354"/>
      <c r="G130" s="354"/>
      <c r="H130" s="335">
        <v>0</v>
      </c>
      <c r="I130" s="217"/>
    </row>
    <row r="131" spans="1:9">
      <c r="A131" s="402">
        <v>8</v>
      </c>
      <c r="B131" s="799">
        <v>305100050103010</v>
      </c>
      <c r="C131" s="320" t="s">
        <v>534</v>
      </c>
      <c r="D131" s="329"/>
      <c r="E131" s="335">
        <f t="shared" si="1"/>
        <v>0</v>
      </c>
      <c r="F131" s="354"/>
      <c r="G131" s="354"/>
      <c r="H131" s="335">
        <v>0</v>
      </c>
      <c r="I131" s="217"/>
    </row>
    <row r="132" spans="1:9">
      <c r="A132" s="402">
        <v>8</v>
      </c>
      <c r="B132" s="799">
        <v>305100050103015</v>
      </c>
      <c r="C132" s="320" t="s">
        <v>535</v>
      </c>
      <c r="D132" s="329"/>
      <c r="E132" s="335">
        <f t="shared" si="1"/>
        <v>0</v>
      </c>
      <c r="F132" s="354"/>
      <c r="G132" s="354"/>
      <c r="H132" s="335">
        <v>0</v>
      </c>
      <c r="I132" s="217"/>
    </row>
    <row r="133" spans="1:9" ht="24">
      <c r="A133" s="402">
        <v>8</v>
      </c>
      <c r="B133" s="799">
        <v>305100050103020</v>
      </c>
      <c r="C133" s="320" t="s">
        <v>536</v>
      </c>
      <c r="D133" s="329"/>
      <c r="E133" s="335">
        <f t="shared" si="1"/>
        <v>0</v>
      </c>
      <c r="F133" s="354"/>
      <c r="G133" s="354"/>
      <c r="H133" s="335">
        <v>0</v>
      </c>
      <c r="I133" s="217"/>
    </row>
    <row r="134" spans="1:9" ht="24">
      <c r="A134" s="402">
        <v>8</v>
      </c>
      <c r="B134" s="799">
        <v>305100050103025</v>
      </c>
      <c r="C134" s="320" t="s">
        <v>537</v>
      </c>
      <c r="D134" s="329"/>
      <c r="E134" s="335">
        <f t="shared" ref="E134:E197" si="2">+F134+G134</f>
        <v>0</v>
      </c>
      <c r="F134" s="354"/>
      <c r="G134" s="354"/>
      <c r="H134" s="335">
        <v>0</v>
      </c>
      <c r="I134" s="217"/>
    </row>
    <row r="135" spans="1:9" ht="24">
      <c r="A135" s="402">
        <v>8</v>
      </c>
      <c r="B135" s="799">
        <v>305100050103030</v>
      </c>
      <c r="C135" s="320" t="s">
        <v>538</v>
      </c>
      <c r="D135" s="329"/>
      <c r="E135" s="335">
        <f t="shared" si="2"/>
        <v>0</v>
      </c>
      <c r="F135" s="354"/>
      <c r="G135" s="354"/>
      <c r="H135" s="335">
        <v>0</v>
      </c>
      <c r="I135" s="217"/>
    </row>
    <row r="136" spans="1:9" ht="24">
      <c r="A136" s="402">
        <v>8</v>
      </c>
      <c r="B136" s="799">
        <v>305100050103035</v>
      </c>
      <c r="C136" s="320" t="s">
        <v>539</v>
      </c>
      <c r="D136" s="329"/>
      <c r="E136" s="335">
        <f t="shared" si="2"/>
        <v>0</v>
      </c>
      <c r="F136" s="354"/>
      <c r="G136" s="354"/>
      <c r="H136" s="335">
        <v>0</v>
      </c>
      <c r="I136" s="217"/>
    </row>
    <row r="137" spans="1:9">
      <c r="A137" s="402">
        <v>8</v>
      </c>
      <c r="B137" s="799">
        <v>305100050103040</v>
      </c>
      <c r="C137" s="320" t="s">
        <v>2118</v>
      </c>
      <c r="D137" s="329"/>
      <c r="E137" s="335">
        <f t="shared" si="2"/>
        <v>0</v>
      </c>
      <c r="F137" s="354"/>
      <c r="G137" s="354"/>
      <c r="H137" s="335">
        <v>0</v>
      </c>
      <c r="I137" s="217"/>
    </row>
    <row r="138" spans="1:9" ht="24">
      <c r="A138" s="402">
        <v>8</v>
      </c>
      <c r="B138" s="799">
        <v>305100050103045</v>
      </c>
      <c r="C138" s="320" t="s">
        <v>540</v>
      </c>
      <c r="D138" s="329"/>
      <c r="E138" s="335">
        <f t="shared" si="2"/>
        <v>0</v>
      </c>
      <c r="F138" s="354"/>
      <c r="G138" s="354"/>
      <c r="H138" s="335">
        <v>0</v>
      </c>
      <c r="I138" s="217"/>
    </row>
    <row r="139" spans="1:9" ht="24">
      <c r="A139" s="402">
        <v>8</v>
      </c>
      <c r="B139" s="799">
        <v>305100050103050</v>
      </c>
      <c r="C139" s="320" t="s">
        <v>541</v>
      </c>
      <c r="D139" s="329"/>
      <c r="E139" s="335">
        <f t="shared" si="2"/>
        <v>0</v>
      </c>
      <c r="F139" s="354"/>
      <c r="G139" s="354"/>
      <c r="H139" s="335">
        <v>0</v>
      </c>
      <c r="I139" s="217"/>
    </row>
    <row r="140" spans="1:9" ht="24">
      <c r="A140" s="402">
        <v>8</v>
      </c>
      <c r="B140" s="799">
        <v>305100050103055</v>
      </c>
      <c r="C140" s="320" t="s">
        <v>542</v>
      </c>
      <c r="D140" s="329"/>
      <c r="E140" s="335">
        <f t="shared" si="2"/>
        <v>0</v>
      </c>
      <c r="F140" s="354"/>
      <c r="G140" s="354"/>
      <c r="H140" s="335">
        <v>0</v>
      </c>
      <c r="I140" s="217"/>
    </row>
    <row r="141" spans="1:9">
      <c r="A141" s="402">
        <v>8</v>
      </c>
      <c r="B141" s="799">
        <v>305100050103060</v>
      </c>
      <c r="C141" s="320" t="s">
        <v>543</v>
      </c>
      <c r="D141" s="329"/>
      <c r="E141" s="335">
        <f t="shared" si="2"/>
        <v>0</v>
      </c>
      <c r="F141" s="354"/>
      <c r="G141" s="354"/>
      <c r="H141" s="335">
        <v>0</v>
      </c>
      <c r="I141" s="217"/>
    </row>
    <row r="142" spans="1:9">
      <c r="A142" s="402">
        <v>8</v>
      </c>
      <c r="B142" s="799">
        <v>305100050103065</v>
      </c>
      <c r="C142" s="320" t="s">
        <v>544</v>
      </c>
      <c r="D142" s="329"/>
      <c r="E142" s="335">
        <f t="shared" si="2"/>
        <v>0</v>
      </c>
      <c r="F142" s="354"/>
      <c r="G142" s="354"/>
      <c r="H142" s="335">
        <v>0</v>
      </c>
      <c r="I142" s="217"/>
    </row>
    <row r="143" spans="1:9">
      <c r="A143" s="402">
        <v>8</v>
      </c>
      <c r="B143" s="799">
        <v>305100050103070</v>
      </c>
      <c r="C143" s="320" t="s">
        <v>545</v>
      </c>
      <c r="D143" s="329"/>
      <c r="E143" s="335">
        <f t="shared" si="2"/>
        <v>0</v>
      </c>
      <c r="F143" s="354"/>
      <c r="G143" s="354"/>
      <c r="H143" s="335">
        <v>0</v>
      </c>
      <c r="I143" s="217"/>
    </row>
    <row r="144" spans="1:9" ht="25.5">
      <c r="A144" s="401" t="s">
        <v>1970</v>
      </c>
      <c r="B144" s="800" t="s">
        <v>546</v>
      </c>
      <c r="C144" s="317" t="s">
        <v>1420</v>
      </c>
      <c r="D144" s="328"/>
      <c r="E144" s="359"/>
      <c r="F144" s="359"/>
      <c r="G144" s="359"/>
      <c r="H144" s="359">
        <v>0</v>
      </c>
    </row>
    <row r="145" spans="1:9">
      <c r="A145" s="402">
        <v>8</v>
      </c>
      <c r="B145" s="799">
        <v>305100050104005</v>
      </c>
      <c r="C145" s="320" t="s">
        <v>2119</v>
      </c>
      <c r="D145" s="329"/>
      <c r="E145" s="335">
        <f t="shared" si="2"/>
        <v>0</v>
      </c>
      <c r="F145" s="354"/>
      <c r="G145" s="354"/>
      <c r="H145" s="335">
        <v>0</v>
      </c>
      <c r="I145" s="217"/>
    </row>
    <row r="146" spans="1:9" ht="24">
      <c r="A146" s="402">
        <v>8</v>
      </c>
      <c r="B146" s="799">
        <v>305100050104010</v>
      </c>
      <c r="C146" s="320" t="s">
        <v>2120</v>
      </c>
      <c r="D146" s="329"/>
      <c r="E146" s="335">
        <f t="shared" si="2"/>
        <v>0</v>
      </c>
      <c r="F146" s="354"/>
      <c r="G146" s="354"/>
      <c r="H146" s="335">
        <v>0</v>
      </c>
      <c r="I146" s="217"/>
    </row>
    <row r="147" spans="1:9" ht="24">
      <c r="A147" s="402">
        <v>8</v>
      </c>
      <c r="B147" s="799">
        <v>305100050104015</v>
      </c>
      <c r="C147" s="320" t="s">
        <v>2121</v>
      </c>
      <c r="D147" s="329"/>
      <c r="E147" s="335">
        <f t="shared" si="2"/>
        <v>0</v>
      </c>
      <c r="F147" s="354"/>
      <c r="G147" s="354"/>
      <c r="H147" s="335">
        <v>0</v>
      </c>
      <c r="I147" s="217"/>
    </row>
    <row r="148" spans="1:9" ht="24">
      <c r="A148" s="402">
        <v>8</v>
      </c>
      <c r="B148" s="799">
        <v>305100050104020</v>
      </c>
      <c r="C148" s="320" t="s">
        <v>2122</v>
      </c>
      <c r="D148" s="329"/>
      <c r="E148" s="335">
        <f t="shared" si="2"/>
        <v>0</v>
      </c>
      <c r="F148" s="354"/>
      <c r="G148" s="354"/>
      <c r="H148" s="335">
        <v>0</v>
      </c>
      <c r="I148" s="217"/>
    </row>
    <row r="149" spans="1:9" ht="24">
      <c r="A149" s="402">
        <v>8</v>
      </c>
      <c r="B149" s="799">
        <v>305100050104025</v>
      </c>
      <c r="C149" s="320" t="s">
        <v>2123</v>
      </c>
      <c r="D149" s="329"/>
      <c r="E149" s="335">
        <f t="shared" si="2"/>
        <v>0</v>
      </c>
      <c r="F149" s="354"/>
      <c r="G149" s="354"/>
      <c r="H149" s="335">
        <v>0</v>
      </c>
      <c r="I149" s="217"/>
    </row>
    <row r="150" spans="1:9">
      <c r="A150" s="402">
        <v>8</v>
      </c>
      <c r="B150" s="799">
        <v>305100050104030</v>
      </c>
      <c r="C150" s="320" t="s">
        <v>2124</v>
      </c>
      <c r="D150" s="329"/>
      <c r="E150" s="335">
        <f t="shared" si="2"/>
        <v>0</v>
      </c>
      <c r="F150" s="354"/>
      <c r="G150" s="354"/>
      <c r="H150" s="335">
        <v>0</v>
      </c>
      <c r="I150" s="217"/>
    </row>
    <row r="151" spans="1:9">
      <c r="A151" s="402">
        <v>8</v>
      </c>
      <c r="B151" s="799">
        <v>305100050104035</v>
      </c>
      <c r="C151" s="320" t="s">
        <v>2125</v>
      </c>
      <c r="D151" s="329"/>
      <c r="E151" s="335">
        <f t="shared" si="2"/>
        <v>0</v>
      </c>
      <c r="F151" s="354"/>
      <c r="G151" s="354"/>
      <c r="H151" s="335">
        <v>0</v>
      </c>
      <c r="I151" s="217"/>
    </row>
    <row r="152" spans="1:9">
      <c r="A152" s="402">
        <v>8</v>
      </c>
      <c r="B152" s="799">
        <v>305100050104040</v>
      </c>
      <c r="C152" s="320" t="s">
        <v>547</v>
      </c>
      <c r="D152" s="329"/>
      <c r="E152" s="335">
        <f t="shared" si="2"/>
        <v>0</v>
      </c>
      <c r="F152" s="354"/>
      <c r="G152" s="354"/>
      <c r="H152" s="335">
        <v>0</v>
      </c>
      <c r="I152" s="217"/>
    </row>
    <row r="153" spans="1:9" ht="25.5">
      <c r="A153" s="401" t="s">
        <v>1969</v>
      </c>
      <c r="B153" s="800" t="s">
        <v>548</v>
      </c>
      <c r="C153" s="317" t="s">
        <v>1421</v>
      </c>
      <c r="D153" s="328" t="s">
        <v>1248</v>
      </c>
      <c r="E153" s="359"/>
      <c r="F153" s="359"/>
      <c r="G153" s="359"/>
      <c r="H153" s="359">
        <v>0</v>
      </c>
    </row>
    <row r="154" spans="1:9" ht="24">
      <c r="A154" s="402" t="s">
        <v>1970</v>
      </c>
      <c r="B154" s="799">
        <v>305100050200000</v>
      </c>
      <c r="C154" s="320" t="s">
        <v>2126</v>
      </c>
      <c r="D154" s="329" t="s">
        <v>1248</v>
      </c>
      <c r="E154" s="335">
        <f t="shared" si="2"/>
        <v>0</v>
      </c>
      <c r="F154" s="354"/>
      <c r="G154" s="354"/>
      <c r="H154" s="335">
        <v>0</v>
      </c>
      <c r="I154" s="217"/>
    </row>
    <row r="155" spans="1:9" ht="25.5">
      <c r="A155" s="401" t="s">
        <v>1969</v>
      </c>
      <c r="B155" s="800" t="s">
        <v>549</v>
      </c>
      <c r="C155" s="317" t="s">
        <v>1422</v>
      </c>
      <c r="D155" s="328"/>
      <c r="E155" s="359"/>
      <c r="F155" s="359"/>
      <c r="G155" s="359"/>
      <c r="H155" s="359">
        <v>0</v>
      </c>
    </row>
    <row r="156" spans="1:9" ht="24">
      <c r="A156" s="402" t="s">
        <v>1970</v>
      </c>
      <c r="B156" s="799">
        <v>305100050300000</v>
      </c>
      <c r="C156" s="320" t="s">
        <v>2127</v>
      </c>
      <c r="D156" s="329"/>
      <c r="E156" s="335">
        <f t="shared" si="2"/>
        <v>0</v>
      </c>
      <c r="F156" s="354"/>
      <c r="G156" s="354"/>
      <c r="H156" s="335">
        <v>0</v>
      </c>
      <c r="I156" s="217"/>
    </row>
    <row r="157" spans="1:9">
      <c r="A157" s="401" t="s">
        <v>1967</v>
      </c>
      <c r="B157" s="800" t="s">
        <v>550</v>
      </c>
      <c r="C157" s="317" t="s">
        <v>2128</v>
      </c>
      <c r="D157" s="328"/>
      <c r="E157" s="359"/>
      <c r="F157" s="359"/>
      <c r="G157" s="359"/>
      <c r="H157" s="359">
        <v>0</v>
      </c>
    </row>
    <row r="158" spans="1:9">
      <c r="A158" s="401" t="s">
        <v>1969</v>
      </c>
      <c r="B158" s="800" t="s">
        <v>551</v>
      </c>
      <c r="C158" s="317" t="s">
        <v>1424</v>
      </c>
      <c r="D158" s="328"/>
      <c r="E158" s="359"/>
      <c r="F158" s="359"/>
      <c r="G158" s="359"/>
      <c r="H158" s="359">
        <v>0</v>
      </c>
    </row>
    <row r="159" spans="1:9">
      <c r="A159" s="402">
        <v>7</v>
      </c>
      <c r="B159" s="801">
        <v>305100100101000</v>
      </c>
      <c r="C159" s="320" t="s">
        <v>552</v>
      </c>
      <c r="D159" s="329"/>
      <c r="E159" s="335">
        <f t="shared" si="2"/>
        <v>0</v>
      </c>
      <c r="F159" s="354"/>
      <c r="G159" s="354"/>
      <c r="H159" s="335">
        <v>0</v>
      </c>
      <c r="I159" s="217"/>
    </row>
    <row r="160" spans="1:9">
      <c r="A160" s="402">
        <v>7</v>
      </c>
      <c r="B160" s="799">
        <v>305100100102000</v>
      </c>
      <c r="C160" s="320" t="s">
        <v>553</v>
      </c>
      <c r="D160" s="329"/>
      <c r="E160" s="335">
        <f t="shared" si="2"/>
        <v>0</v>
      </c>
      <c r="F160" s="354"/>
      <c r="G160" s="354"/>
      <c r="H160" s="335">
        <v>0</v>
      </c>
      <c r="I160" s="217"/>
    </row>
    <row r="161" spans="1:9" ht="25.5">
      <c r="A161" s="401" t="s">
        <v>1969</v>
      </c>
      <c r="B161" s="800" t="s">
        <v>554</v>
      </c>
      <c r="C161" s="317" t="s">
        <v>1425</v>
      </c>
      <c r="D161" s="328" t="s">
        <v>1248</v>
      </c>
      <c r="E161" s="359"/>
      <c r="F161" s="359"/>
      <c r="G161" s="359"/>
      <c r="H161" s="359">
        <v>0</v>
      </c>
    </row>
    <row r="162" spans="1:9" ht="24">
      <c r="A162" s="402" t="s">
        <v>1970</v>
      </c>
      <c r="B162" s="799">
        <v>305100100200000</v>
      </c>
      <c r="C162" s="320" t="s">
        <v>2129</v>
      </c>
      <c r="D162" s="329" t="s">
        <v>1248</v>
      </c>
      <c r="E162" s="335">
        <f t="shared" si="2"/>
        <v>0</v>
      </c>
      <c r="F162" s="354"/>
      <c r="G162" s="354"/>
      <c r="H162" s="335">
        <v>0</v>
      </c>
      <c r="I162" s="217"/>
    </row>
    <row r="163" spans="1:9">
      <c r="A163" s="401" t="s">
        <v>1969</v>
      </c>
      <c r="B163" s="800" t="s">
        <v>555</v>
      </c>
      <c r="C163" s="317" t="s">
        <v>1426</v>
      </c>
      <c r="D163" s="328"/>
      <c r="E163" s="359"/>
      <c r="F163" s="359"/>
      <c r="G163" s="359"/>
      <c r="H163" s="359">
        <v>0</v>
      </c>
    </row>
    <row r="164" spans="1:9">
      <c r="A164" s="402" t="s">
        <v>1970</v>
      </c>
      <c r="B164" s="799">
        <v>305100100300000</v>
      </c>
      <c r="C164" s="320" t="s">
        <v>2130</v>
      </c>
      <c r="D164" s="329"/>
      <c r="E164" s="335">
        <f t="shared" si="2"/>
        <v>0</v>
      </c>
      <c r="F164" s="354"/>
      <c r="G164" s="354"/>
      <c r="H164" s="335">
        <v>0</v>
      </c>
      <c r="I164" s="217"/>
    </row>
    <row r="165" spans="1:9" ht="25.5">
      <c r="A165" s="401" t="s">
        <v>1967</v>
      </c>
      <c r="B165" s="800" t="s">
        <v>556</v>
      </c>
      <c r="C165" s="317" t="s">
        <v>2131</v>
      </c>
      <c r="D165" s="328"/>
      <c r="E165" s="359"/>
      <c r="F165" s="359"/>
      <c r="G165" s="359"/>
      <c r="H165" s="359">
        <v>0</v>
      </c>
    </row>
    <row r="166" spans="1:9" ht="25.5">
      <c r="A166" s="401" t="s">
        <v>1969</v>
      </c>
      <c r="B166" s="800" t="s">
        <v>557</v>
      </c>
      <c r="C166" s="317" t="s">
        <v>1428</v>
      </c>
      <c r="D166" s="328" t="s">
        <v>1248</v>
      </c>
      <c r="E166" s="359"/>
      <c r="F166" s="359"/>
      <c r="G166" s="359"/>
      <c r="H166" s="359">
        <v>0</v>
      </c>
    </row>
    <row r="167" spans="1:9">
      <c r="A167" s="402">
        <v>7</v>
      </c>
      <c r="B167" s="799">
        <v>305100150101000</v>
      </c>
      <c r="C167" s="320" t="s">
        <v>558</v>
      </c>
      <c r="D167" s="329" t="s">
        <v>1248</v>
      </c>
      <c r="E167" s="335">
        <f t="shared" si="2"/>
        <v>0</v>
      </c>
      <c r="F167" s="354"/>
      <c r="G167" s="354"/>
      <c r="H167" s="335">
        <v>0</v>
      </c>
      <c r="I167" s="217"/>
    </row>
    <row r="168" spans="1:9" ht="24">
      <c r="A168" s="402">
        <v>7</v>
      </c>
      <c r="B168" s="799">
        <v>305100150102000</v>
      </c>
      <c r="C168" s="320" t="s">
        <v>559</v>
      </c>
      <c r="D168" s="329" t="s">
        <v>1248</v>
      </c>
      <c r="E168" s="335">
        <f t="shared" si="2"/>
        <v>2153.1999999999998</v>
      </c>
      <c r="F168" s="354">
        <v>2153.1999999999998</v>
      </c>
      <c r="G168" s="354"/>
      <c r="H168" s="335">
        <v>0</v>
      </c>
      <c r="I168" s="217"/>
    </row>
    <row r="169" spans="1:9" ht="38.25">
      <c r="A169" s="401" t="s">
        <v>1969</v>
      </c>
      <c r="B169" s="800" t="s">
        <v>561</v>
      </c>
      <c r="C169" s="317" t="s">
        <v>2132</v>
      </c>
      <c r="D169" s="328" t="s">
        <v>1248</v>
      </c>
      <c r="E169" s="359"/>
      <c r="F169" s="359"/>
      <c r="G169" s="359"/>
      <c r="H169" s="359">
        <v>0</v>
      </c>
    </row>
    <row r="170" spans="1:9" ht="24">
      <c r="A170" s="402" t="s">
        <v>1970</v>
      </c>
      <c r="B170" s="799">
        <v>305100150150000</v>
      </c>
      <c r="C170" s="320" t="s">
        <v>560</v>
      </c>
      <c r="D170" s="329" t="s">
        <v>1248</v>
      </c>
      <c r="E170" s="335">
        <f t="shared" si="2"/>
        <v>0</v>
      </c>
      <c r="F170" s="354"/>
      <c r="G170" s="354"/>
      <c r="H170" s="335">
        <v>0</v>
      </c>
      <c r="I170" s="217"/>
    </row>
    <row r="171" spans="1:9" ht="38.25">
      <c r="A171" s="401" t="s">
        <v>1969</v>
      </c>
      <c r="B171" s="800" t="s">
        <v>562</v>
      </c>
      <c r="C171" s="317" t="s">
        <v>2133</v>
      </c>
      <c r="D171" s="328"/>
      <c r="E171" s="359"/>
      <c r="F171" s="359"/>
      <c r="G171" s="359"/>
      <c r="H171" s="359">
        <v>0</v>
      </c>
    </row>
    <row r="172" spans="1:9" ht="24">
      <c r="A172" s="402" t="s">
        <v>1970</v>
      </c>
      <c r="B172" s="799">
        <v>305100150200000</v>
      </c>
      <c r="C172" s="320" t="s">
        <v>2134</v>
      </c>
      <c r="D172" s="329"/>
      <c r="E172" s="335">
        <f t="shared" si="2"/>
        <v>0</v>
      </c>
      <c r="F172" s="354"/>
      <c r="G172" s="354"/>
      <c r="H172" s="335">
        <v>0</v>
      </c>
      <c r="I172" s="217"/>
    </row>
    <row r="173" spans="1:9" ht="25.5">
      <c r="A173" s="401" t="s">
        <v>1969</v>
      </c>
      <c r="B173" s="800" t="s">
        <v>564</v>
      </c>
      <c r="C173" s="317" t="s">
        <v>2135</v>
      </c>
      <c r="D173" s="328"/>
      <c r="E173" s="359"/>
      <c r="F173" s="359"/>
      <c r="G173" s="359"/>
      <c r="H173" s="359">
        <v>0</v>
      </c>
    </row>
    <row r="174" spans="1:9" ht="24">
      <c r="A174" s="402" t="s">
        <v>1970</v>
      </c>
      <c r="B174" s="799">
        <v>305100150250000</v>
      </c>
      <c r="C174" s="320" t="s">
        <v>563</v>
      </c>
      <c r="D174" s="329"/>
      <c r="E174" s="335">
        <f t="shared" si="2"/>
        <v>0</v>
      </c>
      <c r="F174" s="354"/>
      <c r="G174" s="354"/>
      <c r="H174" s="335">
        <v>0</v>
      </c>
      <c r="I174" s="217"/>
    </row>
    <row r="175" spans="1:9">
      <c r="A175" s="401" t="s">
        <v>1969</v>
      </c>
      <c r="B175" s="800" t="s">
        <v>565</v>
      </c>
      <c r="C175" s="317" t="s">
        <v>1432</v>
      </c>
      <c r="D175" s="328"/>
      <c r="E175" s="359"/>
      <c r="F175" s="359"/>
      <c r="G175" s="359"/>
      <c r="H175" s="359">
        <v>0</v>
      </c>
    </row>
    <row r="176" spans="1:9" ht="24">
      <c r="A176" s="402">
        <v>7</v>
      </c>
      <c r="B176" s="799">
        <v>305100150301000</v>
      </c>
      <c r="C176" s="320" t="s">
        <v>566</v>
      </c>
      <c r="D176" s="329"/>
      <c r="E176" s="335">
        <f t="shared" si="2"/>
        <v>0</v>
      </c>
      <c r="F176" s="354"/>
      <c r="G176" s="354"/>
      <c r="H176" s="335">
        <v>0</v>
      </c>
      <c r="I176" s="217"/>
    </row>
    <row r="177" spans="1:9" ht="25.5">
      <c r="A177" s="401" t="s">
        <v>1969</v>
      </c>
      <c r="B177" s="800" t="s">
        <v>569</v>
      </c>
      <c r="C177" s="317" t="s">
        <v>2136</v>
      </c>
      <c r="D177" s="328"/>
      <c r="E177" s="359"/>
      <c r="F177" s="359"/>
      <c r="G177" s="359"/>
      <c r="H177" s="359">
        <v>0</v>
      </c>
    </row>
    <row r="178" spans="1:9" ht="24">
      <c r="A178" s="402" t="s">
        <v>1970</v>
      </c>
      <c r="B178" s="799">
        <v>305100150350000</v>
      </c>
      <c r="C178" s="320" t="s">
        <v>568</v>
      </c>
      <c r="D178" s="329"/>
      <c r="E178" s="335">
        <f t="shared" si="2"/>
        <v>0</v>
      </c>
      <c r="F178" s="354"/>
      <c r="G178" s="354"/>
      <c r="H178" s="335">
        <v>0</v>
      </c>
      <c r="I178" s="217"/>
    </row>
    <row r="179" spans="1:9">
      <c r="A179" s="401" t="s">
        <v>1969</v>
      </c>
      <c r="B179" s="800" t="s">
        <v>570</v>
      </c>
      <c r="C179" s="317" t="s">
        <v>1434</v>
      </c>
      <c r="D179" s="328"/>
      <c r="E179" s="359"/>
      <c r="F179" s="359"/>
      <c r="G179" s="359"/>
      <c r="H179" s="359">
        <v>0</v>
      </c>
    </row>
    <row r="180" spans="1:9">
      <c r="A180" s="402">
        <v>7</v>
      </c>
      <c r="B180" s="799">
        <v>305100150401000</v>
      </c>
      <c r="C180" s="320" t="s">
        <v>2137</v>
      </c>
      <c r="D180" s="329"/>
      <c r="E180" s="335">
        <f t="shared" si="2"/>
        <v>0</v>
      </c>
      <c r="F180" s="354"/>
      <c r="G180" s="354"/>
      <c r="H180" s="335">
        <v>0</v>
      </c>
      <c r="I180" s="217"/>
    </row>
    <row r="181" spans="1:9">
      <c r="A181" s="402">
        <v>7</v>
      </c>
      <c r="B181" s="799">
        <v>305100150402000</v>
      </c>
      <c r="C181" s="320" t="s">
        <v>2138</v>
      </c>
      <c r="D181" s="329"/>
      <c r="E181" s="335">
        <f t="shared" si="2"/>
        <v>0</v>
      </c>
      <c r="F181" s="354"/>
      <c r="G181" s="354"/>
      <c r="H181" s="335">
        <v>0</v>
      </c>
      <c r="I181" s="217"/>
    </row>
    <row r="182" spans="1:9">
      <c r="A182" s="402">
        <v>7</v>
      </c>
      <c r="B182" s="799">
        <v>305100150403000</v>
      </c>
      <c r="C182" s="320" t="s">
        <v>2139</v>
      </c>
      <c r="D182" s="329"/>
      <c r="E182" s="335">
        <f t="shared" si="2"/>
        <v>0</v>
      </c>
      <c r="F182" s="354"/>
      <c r="G182" s="354"/>
      <c r="H182" s="335">
        <v>0</v>
      </c>
      <c r="I182" s="217"/>
    </row>
    <row r="183" spans="1:9">
      <c r="A183" s="402">
        <v>7</v>
      </c>
      <c r="B183" s="799">
        <v>305100150404000</v>
      </c>
      <c r="C183" s="320" t="s">
        <v>2140</v>
      </c>
      <c r="D183" s="329"/>
      <c r="E183" s="335">
        <f t="shared" si="2"/>
        <v>0</v>
      </c>
      <c r="F183" s="354"/>
      <c r="G183" s="354"/>
      <c r="H183" s="335">
        <v>0</v>
      </c>
      <c r="I183" s="217"/>
    </row>
    <row r="184" spans="1:9">
      <c r="A184" s="402">
        <v>7</v>
      </c>
      <c r="B184" s="799">
        <v>305100150405000</v>
      </c>
      <c r="C184" s="320" t="s">
        <v>2141</v>
      </c>
      <c r="D184" s="329"/>
      <c r="E184" s="335">
        <f t="shared" si="2"/>
        <v>0</v>
      </c>
      <c r="F184" s="354"/>
      <c r="G184" s="354"/>
      <c r="H184" s="335">
        <v>0</v>
      </c>
      <c r="I184" s="217"/>
    </row>
    <row r="185" spans="1:9">
      <c r="A185" s="402">
        <v>7</v>
      </c>
      <c r="B185" s="799">
        <v>305100150406000</v>
      </c>
      <c r="C185" s="320" t="s">
        <v>2142</v>
      </c>
      <c r="D185" s="329"/>
      <c r="E185" s="335">
        <f t="shared" si="2"/>
        <v>0</v>
      </c>
      <c r="F185" s="354"/>
      <c r="G185" s="354"/>
      <c r="H185" s="335">
        <v>0</v>
      </c>
      <c r="I185" s="217"/>
    </row>
    <row r="186" spans="1:9">
      <c r="A186" s="402">
        <v>7</v>
      </c>
      <c r="B186" s="799">
        <v>305100150407000</v>
      </c>
      <c r="C186" s="320" t="s">
        <v>2143</v>
      </c>
      <c r="D186" s="329"/>
      <c r="E186" s="335">
        <f t="shared" si="2"/>
        <v>0</v>
      </c>
      <c r="F186" s="354"/>
      <c r="G186" s="354"/>
      <c r="H186" s="335">
        <v>0</v>
      </c>
      <c r="I186" s="217"/>
    </row>
    <row r="187" spans="1:9">
      <c r="A187" s="401" t="s">
        <v>1969</v>
      </c>
      <c r="B187" s="800" t="s">
        <v>571</v>
      </c>
      <c r="C187" s="317" t="s">
        <v>1435</v>
      </c>
      <c r="D187" s="328"/>
      <c r="E187" s="359"/>
      <c r="F187" s="359"/>
      <c r="G187" s="359"/>
      <c r="H187" s="359">
        <v>0</v>
      </c>
    </row>
    <row r="188" spans="1:9" ht="25.5">
      <c r="A188" s="401" t="s">
        <v>1970</v>
      </c>
      <c r="B188" s="800" t="s">
        <v>573</v>
      </c>
      <c r="C188" s="317" t="s">
        <v>1436</v>
      </c>
      <c r="D188" s="328"/>
      <c r="E188" s="359"/>
      <c r="F188" s="359"/>
      <c r="G188" s="359"/>
      <c r="H188" s="359">
        <v>0</v>
      </c>
    </row>
    <row r="189" spans="1:9" ht="24">
      <c r="A189" s="402" t="s">
        <v>2017</v>
      </c>
      <c r="B189" s="799">
        <v>305100150501000</v>
      </c>
      <c r="C189" s="320" t="s">
        <v>572</v>
      </c>
      <c r="D189" s="329"/>
      <c r="E189" s="335">
        <f t="shared" si="2"/>
        <v>0</v>
      </c>
      <c r="F189" s="354"/>
      <c r="G189" s="354"/>
      <c r="H189" s="335">
        <v>0</v>
      </c>
      <c r="I189" s="217"/>
    </row>
    <row r="190" spans="1:9" ht="38.25">
      <c r="A190" s="401" t="s">
        <v>1970</v>
      </c>
      <c r="B190" s="800" t="s">
        <v>574</v>
      </c>
      <c r="C190" s="317" t="s">
        <v>2144</v>
      </c>
      <c r="D190" s="328"/>
      <c r="E190" s="359"/>
      <c r="F190" s="359"/>
      <c r="G190" s="359"/>
      <c r="H190" s="359">
        <v>0</v>
      </c>
    </row>
    <row r="191" spans="1:9" ht="24">
      <c r="A191" s="402" t="s">
        <v>2017</v>
      </c>
      <c r="B191" s="799">
        <v>305100150501500</v>
      </c>
      <c r="C191" s="320" t="s">
        <v>2145</v>
      </c>
      <c r="D191" s="329"/>
      <c r="E191" s="335">
        <f t="shared" si="2"/>
        <v>0</v>
      </c>
      <c r="F191" s="354"/>
      <c r="G191" s="354"/>
      <c r="H191" s="335">
        <v>0</v>
      </c>
      <c r="I191" s="217"/>
    </row>
    <row r="192" spans="1:9" ht="25.5">
      <c r="A192" s="401" t="s">
        <v>1970</v>
      </c>
      <c r="B192" s="800" t="s">
        <v>576</v>
      </c>
      <c r="C192" s="317" t="s">
        <v>1438</v>
      </c>
      <c r="D192" s="328"/>
      <c r="E192" s="359"/>
      <c r="F192" s="359"/>
      <c r="G192" s="359"/>
      <c r="H192" s="359">
        <v>0</v>
      </c>
    </row>
    <row r="193" spans="1:9" ht="24">
      <c r="A193" s="402" t="s">
        <v>2017</v>
      </c>
      <c r="B193" s="799">
        <v>305100150502000</v>
      </c>
      <c r="C193" s="320" t="s">
        <v>575</v>
      </c>
      <c r="D193" s="329"/>
      <c r="E193" s="335">
        <f t="shared" si="2"/>
        <v>0</v>
      </c>
      <c r="F193" s="354"/>
      <c r="G193" s="354"/>
      <c r="H193" s="335">
        <v>0</v>
      </c>
      <c r="I193" s="217"/>
    </row>
    <row r="194" spans="1:9" ht="38.25">
      <c r="A194" s="401" t="s">
        <v>1970</v>
      </c>
      <c r="B194" s="800" t="s">
        <v>578</v>
      </c>
      <c r="C194" s="317" t="s">
        <v>2146</v>
      </c>
      <c r="D194" s="328"/>
      <c r="E194" s="359"/>
      <c r="F194" s="359"/>
      <c r="G194" s="359"/>
      <c r="H194" s="359">
        <v>0</v>
      </c>
    </row>
    <row r="195" spans="1:9" ht="24">
      <c r="A195" s="402" t="s">
        <v>2017</v>
      </c>
      <c r="B195" s="799">
        <v>305100150502500</v>
      </c>
      <c r="C195" s="320" t="s">
        <v>577</v>
      </c>
      <c r="D195" s="329"/>
      <c r="E195" s="335">
        <f t="shared" si="2"/>
        <v>0</v>
      </c>
      <c r="F195" s="354"/>
      <c r="G195" s="354"/>
      <c r="H195" s="335">
        <v>0</v>
      </c>
      <c r="I195" s="217"/>
    </row>
    <row r="196" spans="1:9" ht="25.5">
      <c r="A196" s="401" t="s">
        <v>1970</v>
      </c>
      <c r="B196" s="800" t="s">
        <v>580</v>
      </c>
      <c r="C196" s="317" t="s">
        <v>1440</v>
      </c>
      <c r="D196" s="328"/>
      <c r="E196" s="359"/>
      <c r="F196" s="359"/>
      <c r="G196" s="359"/>
      <c r="H196" s="359">
        <v>0</v>
      </c>
    </row>
    <row r="197" spans="1:9" ht="24">
      <c r="A197" s="402" t="s">
        <v>2017</v>
      </c>
      <c r="B197" s="799">
        <v>305100150503000</v>
      </c>
      <c r="C197" s="320" t="s">
        <v>579</v>
      </c>
      <c r="D197" s="329"/>
      <c r="E197" s="335">
        <f t="shared" si="2"/>
        <v>136.41999999999999</v>
      </c>
      <c r="F197" s="354">
        <v>136.41999999999999</v>
      </c>
      <c r="G197" s="354"/>
      <c r="H197" s="335">
        <v>237.97</v>
      </c>
      <c r="I197" s="217"/>
    </row>
    <row r="198" spans="1:9" ht="25.5">
      <c r="A198" s="401" t="s">
        <v>1970</v>
      </c>
      <c r="B198" s="800" t="s">
        <v>582</v>
      </c>
      <c r="C198" s="317" t="s">
        <v>2147</v>
      </c>
      <c r="D198" s="328"/>
      <c r="E198" s="359"/>
      <c r="F198" s="359"/>
      <c r="G198" s="359"/>
      <c r="H198" s="359">
        <v>0</v>
      </c>
    </row>
    <row r="199" spans="1:9" ht="24">
      <c r="A199" s="402" t="s">
        <v>2017</v>
      </c>
      <c r="B199" s="799">
        <v>305100150503500</v>
      </c>
      <c r="C199" s="320" t="s">
        <v>581</v>
      </c>
      <c r="D199" s="329"/>
      <c r="E199" s="335">
        <f t="shared" ref="E199:E260" si="3">+F199+G199</f>
        <v>0</v>
      </c>
      <c r="F199" s="354"/>
      <c r="G199" s="354"/>
      <c r="H199" s="335">
        <v>0</v>
      </c>
      <c r="I199" s="217"/>
    </row>
    <row r="200" spans="1:9" ht="25.5">
      <c r="A200" s="401" t="s">
        <v>1970</v>
      </c>
      <c r="B200" s="800" t="s">
        <v>584</v>
      </c>
      <c r="C200" s="317" t="s">
        <v>1442</v>
      </c>
      <c r="D200" s="328"/>
      <c r="E200" s="359"/>
      <c r="F200" s="359"/>
      <c r="G200" s="359"/>
      <c r="H200" s="359">
        <v>0</v>
      </c>
    </row>
    <row r="201" spans="1:9">
      <c r="A201" s="402" t="s">
        <v>2017</v>
      </c>
      <c r="B201" s="799">
        <v>305100150504000</v>
      </c>
      <c r="C201" s="320" t="s">
        <v>583</v>
      </c>
      <c r="D201" s="329"/>
      <c r="E201" s="335">
        <f t="shared" si="3"/>
        <v>0</v>
      </c>
      <c r="F201" s="354"/>
      <c r="G201" s="354"/>
      <c r="H201" s="335">
        <v>0</v>
      </c>
      <c r="I201" s="217"/>
    </row>
    <row r="202" spans="1:9" ht="25.5">
      <c r="A202" s="401" t="s">
        <v>1970</v>
      </c>
      <c r="B202" s="800" t="s">
        <v>586</v>
      </c>
      <c r="C202" s="317" t="s">
        <v>2148</v>
      </c>
      <c r="D202" s="328"/>
      <c r="E202" s="359"/>
      <c r="F202" s="359"/>
      <c r="G202" s="359"/>
      <c r="H202" s="359">
        <v>0</v>
      </c>
    </row>
    <row r="203" spans="1:9" ht="24">
      <c r="A203" s="402" t="s">
        <v>2017</v>
      </c>
      <c r="B203" s="799">
        <v>305100150504500</v>
      </c>
      <c r="C203" s="320" t="s">
        <v>585</v>
      </c>
      <c r="D203" s="329"/>
      <c r="E203" s="335">
        <f t="shared" si="3"/>
        <v>0</v>
      </c>
      <c r="F203" s="354"/>
      <c r="G203" s="354"/>
      <c r="H203" s="335">
        <v>0</v>
      </c>
      <c r="I203" s="217"/>
    </row>
    <row r="204" spans="1:9" ht="25.5">
      <c r="A204" s="401" t="s">
        <v>1969</v>
      </c>
      <c r="B204" s="800" t="s">
        <v>587</v>
      </c>
      <c r="C204" s="317" t="s">
        <v>1444</v>
      </c>
      <c r="D204" s="328"/>
      <c r="E204" s="359"/>
      <c r="F204" s="359"/>
      <c r="G204" s="359"/>
      <c r="H204" s="359">
        <v>0</v>
      </c>
    </row>
    <row r="205" spans="1:9" ht="36">
      <c r="A205" s="402" t="s">
        <v>1970</v>
      </c>
      <c r="B205" s="799">
        <v>305100150600000</v>
      </c>
      <c r="C205" s="320" t="s">
        <v>2149</v>
      </c>
      <c r="D205" s="329"/>
      <c r="E205" s="335">
        <f t="shared" si="3"/>
        <v>0</v>
      </c>
      <c r="F205" s="354"/>
      <c r="G205" s="354"/>
      <c r="H205" s="335">
        <v>0</v>
      </c>
      <c r="I205" s="217"/>
    </row>
    <row r="206" spans="1:9" ht="51">
      <c r="A206" s="401" t="s">
        <v>1969</v>
      </c>
      <c r="B206" s="800" t="s">
        <v>589</v>
      </c>
      <c r="C206" s="317" t="s">
        <v>2150</v>
      </c>
      <c r="D206" s="328"/>
      <c r="E206" s="359"/>
      <c r="F206" s="359"/>
      <c r="G206" s="359"/>
      <c r="H206" s="359">
        <v>0</v>
      </c>
    </row>
    <row r="207" spans="1:9" ht="36">
      <c r="A207" s="402" t="s">
        <v>1970</v>
      </c>
      <c r="B207" s="799">
        <v>305100150700000</v>
      </c>
      <c r="C207" s="320" t="s">
        <v>588</v>
      </c>
      <c r="D207" s="329"/>
      <c r="E207" s="335">
        <f t="shared" si="3"/>
        <v>0</v>
      </c>
      <c r="F207" s="354"/>
      <c r="G207" s="354"/>
      <c r="H207" s="335">
        <v>0</v>
      </c>
      <c r="I207" s="217"/>
    </row>
    <row r="208" spans="1:9">
      <c r="A208" s="401" t="s">
        <v>1967</v>
      </c>
      <c r="B208" s="800" t="s">
        <v>590</v>
      </c>
      <c r="C208" s="317" t="s">
        <v>2151</v>
      </c>
      <c r="D208" s="328"/>
      <c r="E208" s="359"/>
      <c r="F208" s="359"/>
      <c r="G208" s="359"/>
      <c r="H208" s="359">
        <v>0</v>
      </c>
    </row>
    <row r="209" spans="1:9" ht="25.5">
      <c r="A209" s="401" t="s">
        <v>1969</v>
      </c>
      <c r="B209" s="800" t="s">
        <v>591</v>
      </c>
      <c r="C209" s="317" t="s">
        <v>1447</v>
      </c>
      <c r="D209" s="328" t="s">
        <v>1248</v>
      </c>
      <c r="E209" s="359"/>
      <c r="F209" s="359"/>
      <c r="G209" s="359"/>
      <c r="H209" s="359">
        <v>0</v>
      </c>
    </row>
    <row r="210" spans="1:9" ht="24">
      <c r="A210" s="402" t="s">
        <v>1970</v>
      </c>
      <c r="B210" s="799">
        <v>305100200100000</v>
      </c>
      <c r="C210" s="320" t="s">
        <v>2152</v>
      </c>
      <c r="D210" s="329" t="s">
        <v>1248</v>
      </c>
      <c r="E210" s="335">
        <f t="shared" si="3"/>
        <v>0</v>
      </c>
      <c r="F210" s="354"/>
      <c r="G210" s="354"/>
      <c r="H210" s="335">
        <v>0</v>
      </c>
      <c r="I210" s="217"/>
    </row>
    <row r="211" spans="1:9">
      <c r="A211" s="401" t="s">
        <v>1969</v>
      </c>
      <c r="B211" s="800" t="s">
        <v>592</v>
      </c>
      <c r="C211" s="317" t="s">
        <v>1448</v>
      </c>
      <c r="D211" s="328"/>
      <c r="E211" s="359"/>
      <c r="F211" s="359"/>
      <c r="G211" s="359"/>
      <c r="H211" s="359">
        <v>0</v>
      </c>
    </row>
    <row r="212" spans="1:9" ht="24">
      <c r="A212" s="402" t="s">
        <v>1970</v>
      </c>
      <c r="B212" s="799">
        <v>305100200200000</v>
      </c>
      <c r="C212" s="320" t="s">
        <v>2153</v>
      </c>
      <c r="D212" s="329"/>
      <c r="E212" s="335">
        <f t="shared" si="3"/>
        <v>0</v>
      </c>
      <c r="F212" s="354"/>
      <c r="G212" s="354"/>
      <c r="H212" s="335">
        <v>0</v>
      </c>
      <c r="I212" s="217"/>
    </row>
    <row r="213" spans="1:9" ht="25.5">
      <c r="A213" s="401" t="s">
        <v>1969</v>
      </c>
      <c r="B213" s="800" t="s">
        <v>593</v>
      </c>
      <c r="C213" s="317" t="s">
        <v>1449</v>
      </c>
      <c r="D213" s="328"/>
      <c r="E213" s="359"/>
      <c r="F213" s="359"/>
      <c r="G213" s="359"/>
      <c r="H213" s="359">
        <v>0</v>
      </c>
    </row>
    <row r="214" spans="1:9" ht="24">
      <c r="A214" s="402" t="s">
        <v>1970</v>
      </c>
      <c r="B214" s="799">
        <v>305100200300000</v>
      </c>
      <c r="C214" s="320" t="s">
        <v>2154</v>
      </c>
      <c r="D214" s="329"/>
      <c r="E214" s="335">
        <f t="shared" si="3"/>
        <v>0</v>
      </c>
      <c r="F214" s="354"/>
      <c r="G214" s="354"/>
      <c r="H214" s="335">
        <v>0</v>
      </c>
      <c r="I214" s="217"/>
    </row>
    <row r="215" spans="1:9">
      <c r="A215" s="401" t="s">
        <v>1969</v>
      </c>
      <c r="B215" s="800" t="s">
        <v>594</v>
      </c>
      <c r="C215" s="317" t="s">
        <v>1450</v>
      </c>
      <c r="D215" s="328"/>
      <c r="E215" s="359"/>
      <c r="F215" s="359"/>
      <c r="G215" s="359"/>
      <c r="H215" s="359">
        <v>0</v>
      </c>
    </row>
    <row r="216" spans="1:9" ht="24">
      <c r="A216" s="402">
        <v>7</v>
      </c>
      <c r="B216" s="799">
        <v>305100200401000</v>
      </c>
      <c r="C216" s="320" t="s">
        <v>2155</v>
      </c>
      <c r="D216" s="329"/>
      <c r="E216" s="335">
        <f t="shared" si="3"/>
        <v>0</v>
      </c>
      <c r="F216" s="354"/>
      <c r="G216" s="354"/>
      <c r="H216" s="335">
        <v>0</v>
      </c>
      <c r="I216" s="217"/>
    </row>
    <row r="217" spans="1:9" ht="24">
      <c r="A217" s="402">
        <v>7</v>
      </c>
      <c r="B217" s="799">
        <v>305100200402000</v>
      </c>
      <c r="C217" s="320" t="s">
        <v>2156</v>
      </c>
      <c r="D217" s="329"/>
      <c r="E217" s="335">
        <f t="shared" si="3"/>
        <v>0</v>
      </c>
      <c r="F217" s="355"/>
      <c r="G217" s="355"/>
      <c r="H217" s="335">
        <v>0</v>
      </c>
      <c r="I217" s="217"/>
    </row>
    <row r="218" spans="1:9">
      <c r="A218" s="401" t="s">
        <v>1969</v>
      </c>
      <c r="B218" s="800" t="s">
        <v>595</v>
      </c>
      <c r="C218" s="317" t="s">
        <v>1451</v>
      </c>
      <c r="D218" s="328"/>
      <c r="E218" s="359"/>
      <c r="F218" s="359"/>
      <c r="G218" s="359"/>
      <c r="H218" s="359">
        <v>0</v>
      </c>
    </row>
    <row r="219" spans="1:9" ht="24">
      <c r="A219" s="402">
        <v>7</v>
      </c>
      <c r="B219" s="799">
        <v>305100200501000</v>
      </c>
      <c r="C219" s="320" t="s">
        <v>2157</v>
      </c>
      <c r="D219" s="329"/>
      <c r="E219" s="335">
        <f t="shared" si="3"/>
        <v>0</v>
      </c>
      <c r="F219" s="354"/>
      <c r="G219" s="354"/>
      <c r="H219" s="335">
        <v>0</v>
      </c>
      <c r="I219" s="217"/>
    </row>
    <row r="220" spans="1:9" ht="24">
      <c r="A220" s="402">
        <v>7</v>
      </c>
      <c r="B220" s="799">
        <v>305100200502000</v>
      </c>
      <c r="C220" s="320" t="s">
        <v>2158</v>
      </c>
      <c r="D220" s="329"/>
      <c r="E220" s="335">
        <f t="shared" si="3"/>
        <v>0</v>
      </c>
      <c r="F220" s="354"/>
      <c r="G220" s="354"/>
      <c r="H220" s="335">
        <v>0</v>
      </c>
      <c r="I220" s="217"/>
    </row>
    <row r="221" spans="1:9">
      <c r="A221" s="401" t="s">
        <v>1967</v>
      </c>
      <c r="B221" s="800" t="s">
        <v>596</v>
      </c>
      <c r="C221" s="317" t="s">
        <v>2159</v>
      </c>
      <c r="D221" s="328"/>
      <c r="E221" s="359"/>
      <c r="F221" s="359"/>
      <c r="G221" s="359"/>
      <c r="H221" s="359">
        <v>0</v>
      </c>
    </row>
    <row r="222" spans="1:9" ht="25.5">
      <c r="A222" s="401" t="s">
        <v>1969</v>
      </c>
      <c r="B222" s="800" t="s">
        <v>597</v>
      </c>
      <c r="C222" s="317" t="s">
        <v>1453</v>
      </c>
      <c r="D222" s="328" t="s">
        <v>1248</v>
      </c>
      <c r="E222" s="359"/>
      <c r="F222" s="359"/>
      <c r="G222" s="359"/>
      <c r="H222" s="359">
        <v>0</v>
      </c>
    </row>
    <row r="223" spans="1:9" ht="24">
      <c r="A223" s="402" t="s">
        <v>1970</v>
      </c>
      <c r="B223" s="799">
        <v>305100250100000</v>
      </c>
      <c r="C223" s="320" t="s">
        <v>2160</v>
      </c>
      <c r="D223" s="329" t="s">
        <v>1248</v>
      </c>
      <c r="E223" s="335">
        <f t="shared" si="3"/>
        <v>0</v>
      </c>
      <c r="F223" s="354"/>
      <c r="G223" s="354"/>
      <c r="H223" s="335">
        <v>0</v>
      </c>
      <c r="I223" s="217"/>
    </row>
    <row r="224" spans="1:9">
      <c r="A224" s="401" t="s">
        <v>1969</v>
      </c>
      <c r="B224" s="800" t="s">
        <v>598</v>
      </c>
      <c r="C224" s="317" t="s">
        <v>1454</v>
      </c>
      <c r="D224" s="328"/>
      <c r="E224" s="359"/>
      <c r="F224" s="359"/>
      <c r="G224" s="359"/>
      <c r="H224" s="359">
        <v>0</v>
      </c>
    </row>
    <row r="225" spans="1:9" ht="24">
      <c r="A225" s="402" t="s">
        <v>1970</v>
      </c>
      <c r="B225" s="799">
        <v>305100250200000</v>
      </c>
      <c r="C225" s="320" t="s">
        <v>2161</v>
      </c>
      <c r="D225" s="329"/>
      <c r="E225" s="335">
        <f t="shared" si="3"/>
        <v>0</v>
      </c>
      <c r="F225" s="354"/>
      <c r="G225" s="354"/>
      <c r="H225" s="335">
        <v>0</v>
      </c>
      <c r="I225" s="217"/>
    </row>
    <row r="226" spans="1:9">
      <c r="A226" s="401" t="s">
        <v>1969</v>
      </c>
      <c r="B226" s="800" t="s">
        <v>599</v>
      </c>
      <c r="C226" s="317" t="s">
        <v>1455</v>
      </c>
      <c r="D226" s="328"/>
      <c r="E226" s="359"/>
      <c r="F226" s="359"/>
      <c r="G226" s="359"/>
      <c r="H226" s="359">
        <v>0</v>
      </c>
    </row>
    <row r="227" spans="1:9" ht="24">
      <c r="A227" s="402" t="s">
        <v>1970</v>
      </c>
      <c r="B227" s="799">
        <v>305100250300000</v>
      </c>
      <c r="C227" s="320" t="s">
        <v>2162</v>
      </c>
      <c r="D227" s="329"/>
      <c r="E227" s="335">
        <f t="shared" si="3"/>
        <v>0</v>
      </c>
      <c r="F227" s="354"/>
      <c r="G227" s="354"/>
      <c r="H227" s="335">
        <v>0</v>
      </c>
      <c r="I227" s="217"/>
    </row>
    <row r="228" spans="1:9">
      <c r="A228" s="401" t="s">
        <v>1969</v>
      </c>
      <c r="B228" s="800" t="s">
        <v>600</v>
      </c>
      <c r="C228" s="317" t="s">
        <v>1456</v>
      </c>
      <c r="D228" s="328"/>
      <c r="E228" s="359"/>
      <c r="F228" s="359"/>
      <c r="G228" s="359"/>
      <c r="H228" s="359">
        <v>0</v>
      </c>
    </row>
    <row r="229" spans="1:9">
      <c r="A229" s="402">
        <v>7</v>
      </c>
      <c r="B229" s="799">
        <v>305100250401000</v>
      </c>
      <c r="C229" s="320" t="s">
        <v>601</v>
      </c>
      <c r="D229" s="329"/>
      <c r="E229" s="335">
        <f t="shared" si="3"/>
        <v>0</v>
      </c>
      <c r="F229" s="354"/>
      <c r="G229" s="354"/>
      <c r="H229" s="335">
        <v>0</v>
      </c>
      <c r="I229" s="217"/>
    </row>
    <row r="230" spans="1:9">
      <c r="A230" s="402">
        <v>7</v>
      </c>
      <c r="B230" s="799">
        <v>305100250402000</v>
      </c>
      <c r="C230" s="320" t="s">
        <v>602</v>
      </c>
      <c r="D230" s="329"/>
      <c r="E230" s="335">
        <f t="shared" si="3"/>
        <v>0</v>
      </c>
      <c r="F230" s="354"/>
      <c r="G230" s="354"/>
      <c r="H230" s="335">
        <v>0</v>
      </c>
      <c r="I230" s="217"/>
    </row>
    <row r="231" spans="1:9">
      <c r="A231" s="402">
        <v>7</v>
      </c>
      <c r="B231" s="799">
        <v>305100250409000</v>
      </c>
      <c r="C231" s="320" t="s">
        <v>604</v>
      </c>
      <c r="D231" s="329"/>
      <c r="E231" s="335">
        <f t="shared" si="3"/>
        <v>0</v>
      </c>
      <c r="F231" s="354"/>
      <c r="G231" s="354"/>
      <c r="H231" s="335">
        <v>0</v>
      </c>
      <c r="I231" s="217"/>
    </row>
    <row r="232" spans="1:9">
      <c r="A232" s="401" t="s">
        <v>1967</v>
      </c>
      <c r="B232" s="800" t="s">
        <v>1457</v>
      </c>
      <c r="C232" s="317" t="s">
        <v>2163</v>
      </c>
      <c r="D232" s="328"/>
      <c r="E232" s="359"/>
      <c r="F232" s="359"/>
      <c r="G232" s="359"/>
      <c r="H232" s="359">
        <v>0</v>
      </c>
    </row>
    <row r="233" spans="1:9" ht="25.5">
      <c r="A233" s="401" t="s">
        <v>1969</v>
      </c>
      <c r="B233" s="800" t="s">
        <v>605</v>
      </c>
      <c r="C233" s="317" t="s">
        <v>1459</v>
      </c>
      <c r="D233" s="328" t="s">
        <v>1248</v>
      </c>
      <c r="E233" s="359"/>
      <c r="F233" s="359"/>
      <c r="G233" s="359"/>
      <c r="H233" s="359">
        <v>0</v>
      </c>
    </row>
    <row r="234" spans="1:9" ht="24">
      <c r="A234" s="402" t="s">
        <v>1970</v>
      </c>
      <c r="B234" s="799">
        <v>305100300100000</v>
      </c>
      <c r="C234" s="320" t="s">
        <v>2164</v>
      </c>
      <c r="D234" s="329" t="s">
        <v>1248</v>
      </c>
      <c r="E234" s="335">
        <f t="shared" si="3"/>
        <v>0</v>
      </c>
      <c r="F234" s="354"/>
      <c r="G234" s="354"/>
      <c r="H234" s="335">
        <v>0</v>
      </c>
      <c r="I234" s="217"/>
    </row>
    <row r="235" spans="1:9">
      <c r="A235" s="401" t="s">
        <v>1969</v>
      </c>
      <c r="B235" s="800" t="s">
        <v>606</v>
      </c>
      <c r="C235" s="317" t="s">
        <v>1460</v>
      </c>
      <c r="D235" s="328"/>
      <c r="E235" s="359"/>
      <c r="F235" s="359"/>
      <c r="G235" s="359"/>
      <c r="H235" s="359">
        <v>0</v>
      </c>
    </row>
    <row r="236" spans="1:9" ht="24">
      <c r="A236" s="402" t="s">
        <v>1970</v>
      </c>
      <c r="B236" s="799">
        <v>305100300200000</v>
      </c>
      <c r="C236" s="320" t="s">
        <v>2165</v>
      </c>
      <c r="D236" s="329"/>
      <c r="E236" s="335">
        <f t="shared" si="3"/>
        <v>0</v>
      </c>
      <c r="F236" s="354"/>
      <c r="G236" s="354"/>
      <c r="H236" s="335">
        <v>0</v>
      </c>
      <c r="I236" s="217"/>
    </row>
    <row r="237" spans="1:9">
      <c r="A237" s="401" t="s">
        <v>1969</v>
      </c>
      <c r="B237" s="800" t="s">
        <v>607</v>
      </c>
      <c r="C237" s="317" t="s">
        <v>1461</v>
      </c>
      <c r="D237" s="328"/>
      <c r="E237" s="359"/>
      <c r="F237" s="359"/>
      <c r="G237" s="359"/>
      <c r="H237" s="359">
        <v>0</v>
      </c>
    </row>
    <row r="238" spans="1:9" ht="24">
      <c r="A238" s="402" t="s">
        <v>1970</v>
      </c>
      <c r="B238" s="799">
        <v>305100300300000</v>
      </c>
      <c r="C238" s="320" t="s">
        <v>2166</v>
      </c>
      <c r="D238" s="329"/>
      <c r="E238" s="335">
        <f t="shared" si="3"/>
        <v>0</v>
      </c>
      <c r="F238" s="354"/>
      <c r="G238" s="354"/>
      <c r="H238" s="335">
        <v>0</v>
      </c>
      <c r="I238" s="217"/>
    </row>
    <row r="239" spans="1:9">
      <c r="A239" s="401" t="s">
        <v>1969</v>
      </c>
      <c r="B239" s="800" t="s">
        <v>608</v>
      </c>
      <c r="C239" s="317" t="s">
        <v>1462</v>
      </c>
      <c r="D239" s="328"/>
      <c r="E239" s="359"/>
      <c r="F239" s="359"/>
      <c r="G239" s="359"/>
      <c r="H239" s="359">
        <v>0</v>
      </c>
    </row>
    <row r="240" spans="1:9">
      <c r="A240" s="402">
        <v>7</v>
      </c>
      <c r="B240" s="799">
        <v>305100300401000</v>
      </c>
      <c r="C240" s="320" t="s">
        <v>609</v>
      </c>
      <c r="D240" s="329"/>
      <c r="E240" s="335">
        <f t="shared" si="3"/>
        <v>0</v>
      </c>
      <c r="F240" s="354"/>
      <c r="G240" s="354"/>
      <c r="H240" s="335">
        <v>0</v>
      </c>
      <c r="I240" s="217"/>
    </row>
    <row r="241" spans="1:9">
      <c r="A241" s="402">
        <v>7</v>
      </c>
      <c r="B241" s="799">
        <v>305100300402000</v>
      </c>
      <c r="C241" s="320" t="s">
        <v>610</v>
      </c>
      <c r="D241" s="329"/>
      <c r="E241" s="335">
        <f t="shared" si="3"/>
        <v>0</v>
      </c>
      <c r="F241" s="354"/>
      <c r="G241" s="354"/>
      <c r="H241" s="335">
        <v>0</v>
      </c>
      <c r="I241" s="217"/>
    </row>
    <row r="242" spans="1:9">
      <c r="A242" s="401" t="s">
        <v>1967</v>
      </c>
      <c r="B242" s="800" t="s">
        <v>611</v>
      </c>
      <c r="C242" s="317" t="s">
        <v>2167</v>
      </c>
      <c r="D242" s="328"/>
      <c r="E242" s="359"/>
      <c r="F242" s="359"/>
      <c r="G242" s="359"/>
      <c r="H242" s="359">
        <v>0</v>
      </c>
    </row>
    <row r="243" spans="1:9" ht="25.5">
      <c r="A243" s="401" t="s">
        <v>1969</v>
      </c>
      <c r="B243" s="800" t="s">
        <v>612</v>
      </c>
      <c r="C243" s="317" t="s">
        <v>1464</v>
      </c>
      <c r="D243" s="328" t="s">
        <v>1248</v>
      </c>
      <c r="E243" s="359"/>
      <c r="F243" s="359"/>
      <c r="G243" s="359"/>
      <c r="H243" s="359">
        <v>0</v>
      </c>
    </row>
    <row r="244" spans="1:9">
      <c r="A244" s="402">
        <v>7</v>
      </c>
      <c r="B244" s="799">
        <v>305100350101000</v>
      </c>
      <c r="C244" s="320" t="s">
        <v>613</v>
      </c>
      <c r="D244" s="329" t="s">
        <v>1248</v>
      </c>
      <c r="E244" s="335">
        <f t="shared" si="3"/>
        <v>0</v>
      </c>
      <c r="F244" s="354"/>
      <c r="G244" s="354"/>
      <c r="H244" s="335">
        <v>0</v>
      </c>
      <c r="I244" s="217"/>
    </row>
    <row r="245" spans="1:9" ht="24">
      <c r="A245" s="402">
        <v>7</v>
      </c>
      <c r="B245" s="799">
        <v>305100350102000</v>
      </c>
      <c r="C245" s="320" t="s">
        <v>614</v>
      </c>
      <c r="D245" s="329" t="s">
        <v>1248</v>
      </c>
      <c r="E245" s="335">
        <f t="shared" si="3"/>
        <v>0</v>
      </c>
      <c r="F245" s="354"/>
      <c r="G245" s="354"/>
      <c r="H245" s="335">
        <v>0</v>
      </c>
      <c r="I245" s="217"/>
    </row>
    <row r="246" spans="1:9">
      <c r="A246" s="401" t="s">
        <v>1969</v>
      </c>
      <c r="B246" s="800" t="s">
        <v>615</v>
      </c>
      <c r="C246" s="317" t="s">
        <v>1465</v>
      </c>
      <c r="D246" s="328"/>
      <c r="E246" s="359"/>
      <c r="F246" s="359"/>
      <c r="G246" s="359"/>
      <c r="H246" s="359">
        <v>0</v>
      </c>
    </row>
    <row r="247" spans="1:9" ht="24">
      <c r="A247" s="402" t="s">
        <v>1970</v>
      </c>
      <c r="B247" s="799">
        <v>305100350200000</v>
      </c>
      <c r="C247" s="320" t="s">
        <v>2168</v>
      </c>
      <c r="D247" s="329"/>
      <c r="E247" s="335">
        <f t="shared" si="3"/>
        <v>0</v>
      </c>
      <c r="F247" s="354"/>
      <c r="G247" s="354"/>
      <c r="H247" s="335">
        <v>0</v>
      </c>
      <c r="I247" s="217"/>
    </row>
    <row r="248" spans="1:9">
      <c r="A248" s="401" t="s">
        <v>1969</v>
      </c>
      <c r="B248" s="800" t="s">
        <v>616</v>
      </c>
      <c r="C248" s="317" t="s">
        <v>1466</v>
      </c>
      <c r="D248" s="328"/>
      <c r="E248" s="359"/>
      <c r="F248" s="359"/>
      <c r="G248" s="359"/>
      <c r="H248" s="359">
        <v>0</v>
      </c>
    </row>
    <row r="249" spans="1:9" ht="24">
      <c r="A249" s="402">
        <v>7</v>
      </c>
      <c r="B249" s="799">
        <v>305100350300000</v>
      </c>
      <c r="C249" s="320" t="s">
        <v>617</v>
      </c>
      <c r="D249" s="329"/>
      <c r="E249" s="335">
        <f t="shared" si="3"/>
        <v>0</v>
      </c>
      <c r="F249" s="354"/>
      <c r="G249" s="354"/>
      <c r="H249" s="335">
        <v>0</v>
      </c>
      <c r="I249" s="217"/>
    </row>
    <row r="250" spans="1:9">
      <c r="A250" s="401" t="s">
        <v>1969</v>
      </c>
      <c r="B250" s="800" t="s">
        <v>619</v>
      </c>
      <c r="C250" s="317" t="s">
        <v>1467</v>
      </c>
      <c r="D250" s="328"/>
      <c r="E250" s="359"/>
      <c r="F250" s="359"/>
      <c r="G250" s="359"/>
      <c r="H250" s="359">
        <v>0</v>
      </c>
    </row>
    <row r="251" spans="1:9" ht="25.5">
      <c r="A251" s="401" t="s">
        <v>1970</v>
      </c>
      <c r="B251" s="800" t="s">
        <v>621</v>
      </c>
      <c r="C251" s="317" t="s">
        <v>1468</v>
      </c>
      <c r="D251" s="328"/>
      <c r="E251" s="359"/>
      <c r="F251" s="359"/>
      <c r="G251" s="359"/>
      <c r="H251" s="359">
        <v>0</v>
      </c>
    </row>
    <row r="252" spans="1:9" ht="24">
      <c r="A252" s="402" t="s">
        <v>2017</v>
      </c>
      <c r="B252" s="799">
        <v>305100350401000</v>
      </c>
      <c r="C252" s="320" t="s">
        <v>620</v>
      </c>
      <c r="D252" s="329"/>
      <c r="E252" s="335">
        <f t="shared" si="3"/>
        <v>0</v>
      </c>
      <c r="F252" s="354"/>
      <c r="G252" s="354"/>
      <c r="H252" s="335">
        <v>0</v>
      </c>
      <c r="I252" s="217"/>
    </row>
    <row r="253" spans="1:9" ht="25.5">
      <c r="A253" s="401" t="s">
        <v>1970</v>
      </c>
      <c r="B253" s="800" t="s">
        <v>623</v>
      </c>
      <c r="C253" s="317" t="s">
        <v>1469</v>
      </c>
      <c r="D253" s="328"/>
      <c r="E253" s="359"/>
      <c r="F253" s="359"/>
      <c r="G253" s="359"/>
      <c r="H253" s="359">
        <v>0</v>
      </c>
    </row>
    <row r="254" spans="1:9" ht="24">
      <c r="A254" s="402" t="s">
        <v>2017</v>
      </c>
      <c r="B254" s="799">
        <v>305100350402000</v>
      </c>
      <c r="C254" s="320" t="s">
        <v>622</v>
      </c>
      <c r="D254" s="329"/>
      <c r="E254" s="335">
        <f t="shared" si="3"/>
        <v>0</v>
      </c>
      <c r="F254" s="354"/>
      <c r="G254" s="354"/>
      <c r="H254" s="335">
        <v>0</v>
      </c>
      <c r="I254" s="217"/>
    </row>
    <row r="255" spans="1:9" ht="25.5">
      <c r="A255" s="401" t="s">
        <v>1970</v>
      </c>
      <c r="B255" s="800" t="s">
        <v>625</v>
      </c>
      <c r="C255" s="317" t="s">
        <v>1470</v>
      </c>
      <c r="D255" s="328"/>
      <c r="E255" s="359"/>
      <c r="F255" s="359"/>
      <c r="G255" s="359"/>
      <c r="H255" s="359">
        <v>0</v>
      </c>
    </row>
    <row r="256" spans="1:9" ht="24">
      <c r="A256" s="402" t="s">
        <v>2017</v>
      </c>
      <c r="B256" s="799">
        <v>305100350403000</v>
      </c>
      <c r="C256" s="320" t="s">
        <v>624</v>
      </c>
      <c r="D256" s="329"/>
      <c r="E256" s="335">
        <f t="shared" si="3"/>
        <v>0</v>
      </c>
      <c r="F256" s="354"/>
      <c r="G256" s="354"/>
      <c r="H256" s="335">
        <v>0</v>
      </c>
      <c r="I256" s="217"/>
    </row>
    <row r="257" spans="1:9" ht="25.5">
      <c r="A257" s="401" t="s">
        <v>1970</v>
      </c>
      <c r="B257" s="800" t="s">
        <v>627</v>
      </c>
      <c r="C257" s="317" t="s">
        <v>1471</v>
      </c>
      <c r="D257" s="328"/>
      <c r="E257" s="359"/>
      <c r="F257" s="359"/>
      <c r="G257" s="359"/>
      <c r="H257" s="359">
        <v>0</v>
      </c>
    </row>
    <row r="258" spans="1:9">
      <c r="A258" s="402" t="s">
        <v>2017</v>
      </c>
      <c r="B258" s="799">
        <v>305100350404000</v>
      </c>
      <c r="C258" s="320" t="s">
        <v>626</v>
      </c>
      <c r="D258" s="329"/>
      <c r="E258" s="335">
        <f t="shared" si="3"/>
        <v>0</v>
      </c>
      <c r="F258" s="354"/>
      <c r="G258" s="354"/>
      <c r="H258" s="335">
        <v>0</v>
      </c>
      <c r="I258" s="217"/>
    </row>
    <row r="259" spans="1:9" ht="25.5">
      <c r="A259" s="401" t="s">
        <v>1969</v>
      </c>
      <c r="B259" s="800" t="s">
        <v>628</v>
      </c>
      <c r="C259" s="317" t="s">
        <v>1472</v>
      </c>
      <c r="D259" s="328"/>
      <c r="E259" s="359"/>
      <c r="F259" s="359"/>
      <c r="G259" s="359"/>
      <c r="H259" s="359">
        <v>0</v>
      </c>
    </row>
    <row r="260" spans="1:9" ht="24">
      <c r="A260" s="402" t="s">
        <v>1970</v>
      </c>
      <c r="B260" s="799">
        <v>305100350500000</v>
      </c>
      <c r="C260" s="320" t="s">
        <v>2169</v>
      </c>
      <c r="D260" s="329"/>
      <c r="E260" s="335">
        <f t="shared" si="3"/>
        <v>0</v>
      </c>
      <c r="F260" s="354"/>
      <c r="G260" s="354"/>
      <c r="H260" s="335">
        <v>0</v>
      </c>
      <c r="I260" s="217"/>
    </row>
    <row r="261" spans="1:9" ht="25.5">
      <c r="A261" s="401" t="s">
        <v>1967</v>
      </c>
      <c r="B261" s="800" t="s">
        <v>629</v>
      </c>
      <c r="C261" s="317" t="s">
        <v>2170</v>
      </c>
      <c r="D261" s="328"/>
      <c r="E261" s="359"/>
      <c r="F261" s="359"/>
      <c r="G261" s="359"/>
      <c r="H261" s="359">
        <v>0</v>
      </c>
    </row>
    <row r="262" spans="1:9" ht="25.5">
      <c r="A262" s="401" t="s">
        <v>1969</v>
      </c>
      <c r="B262" s="800" t="s">
        <v>630</v>
      </c>
      <c r="C262" s="317" t="s">
        <v>1474</v>
      </c>
      <c r="D262" s="328" t="s">
        <v>1248</v>
      </c>
      <c r="E262" s="359"/>
      <c r="F262" s="359"/>
      <c r="G262" s="359"/>
      <c r="H262" s="359">
        <v>0</v>
      </c>
    </row>
    <row r="263" spans="1:9" ht="24">
      <c r="A263" s="402" t="s">
        <v>1970</v>
      </c>
      <c r="B263" s="799">
        <v>305100400100000</v>
      </c>
      <c r="C263" s="320" t="s">
        <v>2171</v>
      </c>
      <c r="D263" s="329" t="s">
        <v>1248</v>
      </c>
      <c r="E263" s="335">
        <f t="shared" ref="E263:E325" si="4">+F263+G263</f>
        <v>0</v>
      </c>
      <c r="F263" s="354"/>
      <c r="G263" s="354"/>
      <c r="H263" s="335">
        <v>0</v>
      </c>
      <c r="I263" s="217"/>
    </row>
    <row r="264" spans="1:9">
      <c r="A264" s="401" t="s">
        <v>1969</v>
      </c>
      <c r="B264" s="800" t="s">
        <v>631</v>
      </c>
      <c r="C264" s="317" t="s">
        <v>1475</v>
      </c>
      <c r="D264" s="328"/>
      <c r="E264" s="359"/>
      <c r="F264" s="359"/>
      <c r="G264" s="359"/>
      <c r="H264" s="359">
        <v>0</v>
      </c>
    </row>
    <row r="265" spans="1:9" ht="24">
      <c r="A265" s="402" t="s">
        <v>1970</v>
      </c>
      <c r="B265" s="799">
        <v>305100400200000</v>
      </c>
      <c r="C265" s="320" t="s">
        <v>2172</v>
      </c>
      <c r="D265" s="329"/>
      <c r="E265" s="335">
        <f t="shared" si="4"/>
        <v>0</v>
      </c>
      <c r="F265" s="354"/>
      <c r="G265" s="354"/>
      <c r="H265" s="335">
        <v>0</v>
      </c>
      <c r="I265" s="217"/>
    </row>
    <row r="266" spans="1:9" ht="25.5">
      <c r="A266" s="401" t="s">
        <v>1969</v>
      </c>
      <c r="B266" s="800" t="s">
        <v>632</v>
      </c>
      <c r="C266" s="317" t="s">
        <v>1476</v>
      </c>
      <c r="D266" s="328"/>
      <c r="E266" s="359"/>
      <c r="F266" s="359"/>
      <c r="G266" s="359"/>
      <c r="H266" s="359">
        <v>0</v>
      </c>
    </row>
    <row r="267" spans="1:9" ht="24">
      <c r="A267" s="402" t="s">
        <v>1970</v>
      </c>
      <c r="B267" s="799">
        <v>305100400300000</v>
      </c>
      <c r="C267" s="320" t="s">
        <v>2173</v>
      </c>
      <c r="D267" s="329"/>
      <c r="E267" s="335">
        <f t="shared" si="4"/>
        <v>0</v>
      </c>
      <c r="F267" s="354"/>
      <c r="G267" s="354"/>
      <c r="H267" s="335">
        <v>0</v>
      </c>
      <c r="I267" s="217"/>
    </row>
    <row r="268" spans="1:9">
      <c r="A268" s="401" t="s">
        <v>1969</v>
      </c>
      <c r="B268" s="800" t="s">
        <v>633</v>
      </c>
      <c r="C268" s="317" t="s">
        <v>1477</v>
      </c>
      <c r="D268" s="328"/>
      <c r="E268" s="359"/>
      <c r="F268" s="359"/>
      <c r="G268" s="359"/>
      <c r="H268" s="359">
        <v>0</v>
      </c>
    </row>
    <row r="269" spans="1:9" ht="24">
      <c r="A269" s="402" t="s">
        <v>1970</v>
      </c>
      <c r="B269" s="799">
        <v>305100400400000</v>
      </c>
      <c r="C269" s="320" t="s">
        <v>2174</v>
      </c>
      <c r="D269" s="329"/>
      <c r="E269" s="335">
        <f t="shared" si="4"/>
        <v>0</v>
      </c>
      <c r="F269" s="354"/>
      <c r="G269" s="354"/>
      <c r="H269" s="335">
        <v>0</v>
      </c>
      <c r="I269" s="217"/>
    </row>
    <row r="270" spans="1:9">
      <c r="A270" s="401" t="s">
        <v>1969</v>
      </c>
      <c r="B270" s="800" t="s">
        <v>634</v>
      </c>
      <c r="C270" s="317" t="s">
        <v>1478</v>
      </c>
      <c r="D270" s="328"/>
      <c r="E270" s="359"/>
      <c r="F270" s="359"/>
      <c r="G270" s="359"/>
      <c r="H270" s="359">
        <v>0</v>
      </c>
    </row>
    <row r="271" spans="1:9" ht="24">
      <c r="A271" s="402" t="s">
        <v>1970</v>
      </c>
      <c r="B271" s="799">
        <v>305100400500000</v>
      </c>
      <c r="C271" s="320" t="s">
        <v>2175</v>
      </c>
      <c r="D271" s="329"/>
      <c r="E271" s="335">
        <f t="shared" si="4"/>
        <v>0</v>
      </c>
      <c r="F271" s="354"/>
      <c r="G271" s="354"/>
      <c r="H271" s="335">
        <v>0</v>
      </c>
      <c r="I271" s="217"/>
    </row>
    <row r="272" spans="1:9">
      <c r="A272" s="401" t="s">
        <v>1967</v>
      </c>
      <c r="B272" s="800" t="s">
        <v>635</v>
      </c>
      <c r="C272" s="317" t="s">
        <v>2176</v>
      </c>
      <c r="D272" s="328"/>
      <c r="E272" s="359"/>
      <c r="F272" s="359"/>
      <c r="G272" s="359"/>
      <c r="H272" s="359">
        <v>0</v>
      </c>
    </row>
    <row r="273" spans="1:9" ht="25.5">
      <c r="A273" s="401" t="s">
        <v>1969</v>
      </c>
      <c r="B273" s="800" t="s">
        <v>636</v>
      </c>
      <c r="C273" s="317" t="s">
        <v>1480</v>
      </c>
      <c r="D273" s="328" t="s">
        <v>1248</v>
      </c>
      <c r="E273" s="359"/>
      <c r="F273" s="359"/>
      <c r="G273" s="359"/>
      <c r="H273" s="359">
        <v>0</v>
      </c>
    </row>
    <row r="274" spans="1:9">
      <c r="A274" s="402">
        <v>7</v>
      </c>
      <c r="B274" s="799">
        <v>305100450101000</v>
      </c>
      <c r="C274" s="320" t="s">
        <v>637</v>
      </c>
      <c r="D274" s="329" t="s">
        <v>1248</v>
      </c>
      <c r="E274" s="335">
        <f t="shared" si="4"/>
        <v>0</v>
      </c>
      <c r="F274" s="354"/>
      <c r="G274" s="354"/>
      <c r="H274" s="335">
        <v>0</v>
      </c>
      <c r="I274" s="217"/>
    </row>
    <row r="275" spans="1:9">
      <c r="A275" s="402">
        <v>7</v>
      </c>
      <c r="B275" s="799">
        <v>305100450102000</v>
      </c>
      <c r="C275" s="320" t="s">
        <v>638</v>
      </c>
      <c r="D275" s="329" t="s">
        <v>1248</v>
      </c>
      <c r="E275" s="335">
        <f t="shared" si="4"/>
        <v>0</v>
      </c>
      <c r="F275" s="354"/>
      <c r="G275" s="354"/>
      <c r="H275" s="335">
        <v>0</v>
      </c>
      <c r="I275" s="217"/>
    </row>
    <row r="276" spans="1:9">
      <c r="A276" s="401" t="s">
        <v>1969</v>
      </c>
      <c r="B276" s="800" t="s">
        <v>639</v>
      </c>
      <c r="C276" s="317" t="s">
        <v>1481</v>
      </c>
      <c r="D276" s="328"/>
      <c r="E276" s="359"/>
      <c r="F276" s="359"/>
      <c r="G276" s="359"/>
      <c r="H276" s="359">
        <v>0</v>
      </c>
    </row>
    <row r="277" spans="1:9" ht="24">
      <c r="A277" s="402" t="s">
        <v>1970</v>
      </c>
      <c r="B277" s="799">
        <v>305100450200000</v>
      </c>
      <c r="C277" s="320" t="s">
        <v>2177</v>
      </c>
      <c r="D277" s="329"/>
      <c r="E277" s="335">
        <f t="shared" si="4"/>
        <v>0</v>
      </c>
      <c r="F277" s="354"/>
      <c r="G277" s="354"/>
      <c r="H277" s="335">
        <v>0</v>
      </c>
      <c r="I277" s="217"/>
    </row>
    <row r="278" spans="1:9">
      <c r="A278" s="401" t="s">
        <v>1969</v>
      </c>
      <c r="B278" s="800" t="s">
        <v>640</v>
      </c>
      <c r="C278" s="317" t="s">
        <v>1482</v>
      </c>
      <c r="D278" s="328"/>
      <c r="E278" s="359"/>
      <c r="F278" s="359"/>
      <c r="G278" s="359"/>
      <c r="H278" s="359">
        <v>0</v>
      </c>
    </row>
    <row r="279" spans="1:9" ht="24">
      <c r="A279" s="402" t="s">
        <v>1970</v>
      </c>
      <c r="B279" s="799">
        <v>305100450300000</v>
      </c>
      <c r="C279" s="320" t="s">
        <v>2178</v>
      </c>
      <c r="D279" s="329"/>
      <c r="E279" s="335">
        <f t="shared" si="4"/>
        <v>0</v>
      </c>
      <c r="F279" s="354"/>
      <c r="G279" s="354"/>
      <c r="H279" s="335">
        <v>0</v>
      </c>
      <c r="I279" s="217"/>
    </row>
    <row r="280" spans="1:9">
      <c r="A280" s="401" t="s">
        <v>1969</v>
      </c>
      <c r="B280" s="800" t="s">
        <v>641</v>
      </c>
      <c r="C280" s="317" t="s">
        <v>1483</v>
      </c>
      <c r="D280" s="328"/>
      <c r="E280" s="359"/>
      <c r="F280" s="359"/>
      <c r="G280" s="359"/>
      <c r="H280" s="359">
        <v>0</v>
      </c>
    </row>
    <row r="281" spans="1:9">
      <c r="A281" s="402">
        <v>7</v>
      </c>
      <c r="B281" s="801">
        <v>305100450409000</v>
      </c>
      <c r="C281" s="320" t="s">
        <v>2596</v>
      </c>
      <c r="D281" s="329"/>
      <c r="E281" s="335">
        <f t="shared" si="4"/>
        <v>0</v>
      </c>
      <c r="F281" s="354"/>
      <c r="G281" s="354"/>
      <c r="H281" s="335">
        <v>0</v>
      </c>
      <c r="I281" s="217"/>
    </row>
    <row r="282" spans="1:9">
      <c r="A282" s="401" t="s">
        <v>1969</v>
      </c>
      <c r="B282" s="800" t="s">
        <v>642</v>
      </c>
      <c r="C282" s="317" t="s">
        <v>1484</v>
      </c>
      <c r="D282" s="328"/>
      <c r="E282" s="359"/>
      <c r="F282" s="359"/>
      <c r="G282" s="359"/>
      <c r="H282" s="359">
        <v>0</v>
      </c>
    </row>
    <row r="283" spans="1:9" ht="24">
      <c r="A283" s="402" t="s">
        <v>1970</v>
      </c>
      <c r="B283" s="799">
        <v>305100450500000</v>
      </c>
      <c r="C283" s="320" t="s">
        <v>2179</v>
      </c>
      <c r="D283" s="329"/>
      <c r="E283" s="335">
        <f t="shared" si="4"/>
        <v>0</v>
      </c>
      <c r="F283" s="354"/>
      <c r="G283" s="354"/>
      <c r="H283" s="335">
        <v>0</v>
      </c>
      <c r="I283" s="217"/>
    </row>
    <row r="284" spans="1:9" ht="25.5">
      <c r="A284" s="401" t="s">
        <v>1969</v>
      </c>
      <c r="B284" s="800" t="s">
        <v>643</v>
      </c>
      <c r="C284" s="317" t="s">
        <v>1485</v>
      </c>
      <c r="D284" s="328"/>
      <c r="E284" s="359"/>
      <c r="F284" s="359"/>
      <c r="G284" s="359"/>
      <c r="H284" s="359">
        <v>0</v>
      </c>
    </row>
    <row r="285" spans="1:9" ht="36">
      <c r="A285" s="402" t="s">
        <v>1970</v>
      </c>
      <c r="B285" s="799">
        <v>305100450600000</v>
      </c>
      <c r="C285" s="320" t="s">
        <v>2180</v>
      </c>
      <c r="D285" s="329"/>
      <c r="E285" s="335">
        <f t="shared" si="4"/>
        <v>0</v>
      </c>
      <c r="F285" s="354"/>
      <c r="G285" s="354"/>
      <c r="H285" s="335">
        <v>0</v>
      </c>
      <c r="I285" s="217"/>
    </row>
    <row r="286" spans="1:9">
      <c r="A286" s="401" t="s">
        <v>1967</v>
      </c>
      <c r="B286" s="800" t="s">
        <v>644</v>
      </c>
      <c r="C286" s="317" t="s">
        <v>2181</v>
      </c>
      <c r="D286" s="328"/>
      <c r="E286" s="359"/>
      <c r="F286" s="359"/>
      <c r="G286" s="359"/>
      <c r="H286" s="359">
        <v>0</v>
      </c>
    </row>
    <row r="287" spans="1:9" ht="25.5">
      <c r="A287" s="401" t="s">
        <v>1969</v>
      </c>
      <c r="B287" s="800" t="s">
        <v>645</v>
      </c>
      <c r="C287" s="317" t="s">
        <v>1487</v>
      </c>
      <c r="D287" s="328" t="s">
        <v>1248</v>
      </c>
      <c r="E287" s="359"/>
      <c r="F287" s="359"/>
      <c r="G287" s="359"/>
      <c r="H287" s="359">
        <v>0</v>
      </c>
    </row>
    <row r="288" spans="1:9" ht="24">
      <c r="A288" s="402" t="s">
        <v>1970</v>
      </c>
      <c r="B288" s="799">
        <v>305100500100000</v>
      </c>
      <c r="C288" s="320" t="s">
        <v>2182</v>
      </c>
      <c r="D288" s="329" t="s">
        <v>1248</v>
      </c>
      <c r="E288" s="335">
        <f t="shared" si="4"/>
        <v>0</v>
      </c>
      <c r="F288" s="354"/>
      <c r="G288" s="354"/>
      <c r="H288" s="335">
        <v>0</v>
      </c>
      <c r="I288" s="217"/>
    </row>
    <row r="289" spans="1:9">
      <c r="A289" s="401" t="s">
        <v>1969</v>
      </c>
      <c r="B289" s="800" t="s">
        <v>646</v>
      </c>
      <c r="C289" s="317" t="s">
        <v>1488</v>
      </c>
      <c r="D289" s="328"/>
      <c r="E289" s="359"/>
      <c r="F289" s="359"/>
      <c r="G289" s="359"/>
      <c r="H289" s="359">
        <v>0</v>
      </c>
    </row>
    <row r="290" spans="1:9" ht="24">
      <c r="A290" s="402" t="s">
        <v>1970</v>
      </c>
      <c r="B290" s="799">
        <v>305100500200000</v>
      </c>
      <c r="C290" s="320" t="s">
        <v>2183</v>
      </c>
      <c r="D290" s="329"/>
      <c r="E290" s="335">
        <f t="shared" si="4"/>
        <v>0</v>
      </c>
      <c r="F290" s="354"/>
      <c r="G290" s="354"/>
      <c r="H290" s="335">
        <v>0</v>
      </c>
      <c r="I290" s="217"/>
    </row>
    <row r="291" spans="1:9">
      <c r="A291" s="401" t="s">
        <v>1969</v>
      </c>
      <c r="B291" s="800" t="s">
        <v>647</v>
      </c>
      <c r="C291" s="317" t="s">
        <v>1489</v>
      </c>
      <c r="D291" s="328"/>
      <c r="E291" s="359"/>
      <c r="F291" s="359"/>
      <c r="G291" s="359"/>
      <c r="H291" s="359">
        <v>0</v>
      </c>
    </row>
    <row r="292" spans="1:9">
      <c r="A292" s="402" t="s">
        <v>1970</v>
      </c>
      <c r="B292" s="799">
        <v>305100500300000</v>
      </c>
      <c r="C292" s="320" t="s">
        <v>2184</v>
      </c>
      <c r="D292" s="329"/>
      <c r="E292" s="335">
        <f t="shared" si="4"/>
        <v>0</v>
      </c>
      <c r="F292" s="354"/>
      <c r="G292" s="354"/>
      <c r="H292" s="335">
        <v>0</v>
      </c>
      <c r="I292" s="217"/>
    </row>
    <row r="293" spans="1:9">
      <c r="A293" s="401" t="s">
        <v>1969</v>
      </c>
      <c r="B293" s="800" t="s">
        <v>648</v>
      </c>
      <c r="C293" s="317" t="s">
        <v>1490</v>
      </c>
      <c r="D293" s="328"/>
      <c r="E293" s="359"/>
      <c r="F293" s="359"/>
      <c r="G293" s="359"/>
      <c r="H293" s="359">
        <v>0</v>
      </c>
    </row>
    <row r="294" spans="1:9">
      <c r="A294" s="402" t="s">
        <v>1970</v>
      </c>
      <c r="B294" s="799">
        <v>305100500400000</v>
      </c>
      <c r="C294" s="320" t="s">
        <v>2185</v>
      </c>
      <c r="D294" s="329"/>
      <c r="E294" s="335">
        <f t="shared" si="4"/>
        <v>0</v>
      </c>
      <c r="F294" s="354"/>
      <c r="G294" s="354"/>
      <c r="H294" s="335">
        <v>0</v>
      </c>
      <c r="I294" s="217"/>
    </row>
    <row r="295" spans="1:9" ht="25.5">
      <c r="A295" s="401" t="s">
        <v>1969</v>
      </c>
      <c r="B295" s="800" t="s">
        <v>649</v>
      </c>
      <c r="C295" s="317" t="s">
        <v>1491</v>
      </c>
      <c r="D295" s="328"/>
      <c r="E295" s="359"/>
      <c r="F295" s="359"/>
      <c r="G295" s="359"/>
      <c r="H295" s="359">
        <v>0</v>
      </c>
    </row>
    <row r="296" spans="1:9" ht="24">
      <c r="A296" s="402" t="s">
        <v>1970</v>
      </c>
      <c r="B296" s="799">
        <v>305100500500000</v>
      </c>
      <c r="C296" s="320" t="s">
        <v>2186</v>
      </c>
      <c r="D296" s="329"/>
      <c r="E296" s="335">
        <f t="shared" si="4"/>
        <v>0</v>
      </c>
      <c r="F296" s="354"/>
      <c r="G296" s="354"/>
      <c r="H296" s="335">
        <v>0</v>
      </c>
      <c r="I296" s="217"/>
    </row>
    <row r="297" spans="1:9">
      <c r="A297" s="401" t="s">
        <v>1967</v>
      </c>
      <c r="B297" s="800" t="s">
        <v>650</v>
      </c>
      <c r="C297" s="317" t="s">
        <v>2187</v>
      </c>
      <c r="D297" s="328"/>
      <c r="E297" s="359"/>
      <c r="F297" s="359"/>
      <c r="G297" s="359"/>
      <c r="H297" s="359">
        <v>0</v>
      </c>
    </row>
    <row r="298" spans="1:9" ht="25.5">
      <c r="A298" s="401" t="s">
        <v>1969</v>
      </c>
      <c r="B298" s="800" t="s">
        <v>651</v>
      </c>
      <c r="C298" s="317" t="s">
        <v>1493</v>
      </c>
      <c r="D298" s="328" t="s">
        <v>1248</v>
      </c>
      <c r="E298" s="359"/>
      <c r="F298" s="359"/>
      <c r="G298" s="359"/>
      <c r="H298" s="359">
        <v>0</v>
      </c>
    </row>
    <row r="299" spans="1:9" ht="24">
      <c r="A299" s="402" t="s">
        <v>1970</v>
      </c>
      <c r="B299" s="799">
        <v>305100550100000</v>
      </c>
      <c r="C299" s="320" t="s">
        <v>2188</v>
      </c>
      <c r="D299" s="329" t="s">
        <v>1248</v>
      </c>
      <c r="E299" s="335">
        <f t="shared" si="4"/>
        <v>0</v>
      </c>
      <c r="F299" s="354"/>
      <c r="G299" s="354"/>
      <c r="H299" s="335">
        <v>0</v>
      </c>
      <c r="I299" s="217"/>
    </row>
    <row r="300" spans="1:9">
      <c r="A300" s="401" t="s">
        <v>1969</v>
      </c>
      <c r="B300" s="800" t="s">
        <v>652</v>
      </c>
      <c r="C300" s="317" t="s">
        <v>1494</v>
      </c>
      <c r="D300" s="328"/>
      <c r="E300" s="359"/>
      <c r="F300" s="359"/>
      <c r="G300" s="359"/>
      <c r="H300" s="359">
        <v>0</v>
      </c>
    </row>
    <row r="301" spans="1:9" ht="24">
      <c r="A301" s="402" t="s">
        <v>1970</v>
      </c>
      <c r="B301" s="799">
        <v>305100550200000</v>
      </c>
      <c r="C301" s="320" t="s">
        <v>2189</v>
      </c>
      <c r="D301" s="329"/>
      <c r="E301" s="335">
        <f t="shared" si="4"/>
        <v>0</v>
      </c>
      <c r="F301" s="354"/>
      <c r="G301" s="354"/>
      <c r="H301" s="335">
        <v>0</v>
      </c>
      <c r="I301" s="217"/>
    </row>
    <row r="302" spans="1:9">
      <c r="A302" s="401" t="s">
        <v>1969</v>
      </c>
      <c r="B302" s="800" t="s">
        <v>653</v>
      </c>
      <c r="C302" s="317" t="s">
        <v>1495</v>
      </c>
      <c r="D302" s="328"/>
      <c r="E302" s="359"/>
      <c r="F302" s="359"/>
      <c r="G302" s="359"/>
      <c r="H302" s="359">
        <v>0</v>
      </c>
    </row>
    <row r="303" spans="1:9">
      <c r="A303" s="402" t="s">
        <v>1970</v>
      </c>
      <c r="B303" s="799">
        <v>305100550300000</v>
      </c>
      <c r="C303" s="320" t="s">
        <v>2190</v>
      </c>
      <c r="D303" s="329"/>
      <c r="E303" s="335">
        <f t="shared" si="4"/>
        <v>0</v>
      </c>
      <c r="F303" s="354"/>
      <c r="G303" s="354"/>
      <c r="H303" s="335">
        <v>0</v>
      </c>
      <c r="I303" s="217"/>
    </row>
    <row r="304" spans="1:9">
      <c r="A304" s="401" t="s">
        <v>1969</v>
      </c>
      <c r="B304" s="800" t="s">
        <v>654</v>
      </c>
      <c r="C304" s="317" t="s">
        <v>1496</v>
      </c>
      <c r="D304" s="328"/>
      <c r="E304" s="359"/>
      <c r="F304" s="359"/>
      <c r="G304" s="359"/>
      <c r="H304" s="359">
        <v>0</v>
      </c>
    </row>
    <row r="305" spans="1:9">
      <c r="A305" s="402">
        <v>7</v>
      </c>
      <c r="B305" s="799">
        <v>305100550401000</v>
      </c>
      <c r="C305" s="320" t="s">
        <v>655</v>
      </c>
      <c r="D305" s="329"/>
      <c r="E305" s="335">
        <f t="shared" si="4"/>
        <v>0</v>
      </c>
      <c r="F305" s="354"/>
      <c r="G305" s="354"/>
      <c r="H305" s="335">
        <v>0</v>
      </c>
      <c r="I305" s="217"/>
    </row>
    <row r="306" spans="1:9">
      <c r="A306" s="402">
        <v>7</v>
      </c>
      <c r="B306" s="799">
        <v>305100550402000</v>
      </c>
      <c r="C306" s="320" t="s">
        <v>656</v>
      </c>
      <c r="D306" s="329"/>
      <c r="E306" s="335">
        <f t="shared" si="4"/>
        <v>0</v>
      </c>
      <c r="F306" s="354"/>
      <c r="G306" s="354"/>
      <c r="H306" s="335">
        <v>0</v>
      </c>
      <c r="I306" s="217"/>
    </row>
    <row r="307" spans="1:9">
      <c r="A307" s="402">
        <v>7</v>
      </c>
      <c r="B307" s="799">
        <v>305100550403000</v>
      </c>
      <c r="C307" s="320" t="s">
        <v>657</v>
      </c>
      <c r="D307" s="329"/>
      <c r="E307" s="335">
        <f t="shared" si="4"/>
        <v>0</v>
      </c>
      <c r="F307" s="354"/>
      <c r="G307" s="354"/>
      <c r="H307" s="335">
        <v>0</v>
      </c>
      <c r="I307" s="217"/>
    </row>
    <row r="308" spans="1:9">
      <c r="A308" s="402">
        <v>7</v>
      </c>
      <c r="B308" s="799">
        <v>305100550404000</v>
      </c>
      <c r="C308" s="320" t="s">
        <v>658</v>
      </c>
      <c r="D308" s="329"/>
      <c r="E308" s="335">
        <f t="shared" si="4"/>
        <v>0</v>
      </c>
      <c r="F308" s="354"/>
      <c r="G308" s="354"/>
      <c r="H308" s="335">
        <v>0</v>
      </c>
      <c r="I308" s="217"/>
    </row>
    <row r="309" spans="1:9" ht="25.5">
      <c r="A309" s="401" t="s">
        <v>1967</v>
      </c>
      <c r="B309" s="800" t="s">
        <v>659</v>
      </c>
      <c r="C309" s="317" t="s">
        <v>2191</v>
      </c>
      <c r="D309" s="328"/>
      <c r="E309" s="359"/>
      <c r="F309" s="359"/>
      <c r="G309" s="359"/>
      <c r="H309" s="359">
        <v>0</v>
      </c>
    </row>
    <row r="310" spans="1:9" ht="25.5">
      <c r="A310" s="401" t="s">
        <v>1969</v>
      </c>
      <c r="B310" s="800" t="s">
        <v>660</v>
      </c>
      <c r="C310" s="317" t="s">
        <v>1498</v>
      </c>
      <c r="D310" s="328"/>
      <c r="E310" s="359"/>
      <c r="F310" s="359"/>
      <c r="G310" s="359"/>
      <c r="H310" s="359">
        <v>0</v>
      </c>
    </row>
    <row r="311" spans="1:9">
      <c r="A311" s="401" t="s">
        <v>1970</v>
      </c>
      <c r="B311" s="800" t="s">
        <v>662</v>
      </c>
      <c r="C311" s="317" t="s">
        <v>2192</v>
      </c>
      <c r="D311" s="328" t="s">
        <v>1248</v>
      </c>
      <c r="E311" s="359"/>
      <c r="F311" s="359"/>
      <c r="G311" s="359"/>
      <c r="H311" s="359">
        <v>0</v>
      </c>
    </row>
    <row r="312" spans="1:9">
      <c r="A312" s="402" t="s">
        <v>2017</v>
      </c>
      <c r="B312" s="799">
        <v>305100600101000</v>
      </c>
      <c r="C312" s="320" t="s">
        <v>661</v>
      </c>
      <c r="D312" s="329" t="s">
        <v>1248</v>
      </c>
      <c r="E312" s="335">
        <f t="shared" si="4"/>
        <v>0</v>
      </c>
      <c r="F312" s="354"/>
      <c r="G312" s="354"/>
      <c r="H312" s="335">
        <v>0</v>
      </c>
      <c r="I312" s="217"/>
    </row>
    <row r="313" spans="1:9" ht="25.5">
      <c r="A313" s="401" t="s">
        <v>1970</v>
      </c>
      <c r="B313" s="800" t="s">
        <v>663</v>
      </c>
      <c r="C313" s="317" t="s">
        <v>1500</v>
      </c>
      <c r="D313" s="328" t="s">
        <v>1248</v>
      </c>
      <c r="E313" s="359"/>
      <c r="F313" s="359"/>
      <c r="G313" s="359"/>
      <c r="H313" s="359">
        <v>0</v>
      </c>
    </row>
    <row r="314" spans="1:9">
      <c r="A314" s="402" t="s">
        <v>2017</v>
      </c>
      <c r="B314" s="799">
        <v>305100600102000</v>
      </c>
      <c r="C314" s="320" t="s">
        <v>2193</v>
      </c>
      <c r="D314" s="329" t="s">
        <v>1248</v>
      </c>
      <c r="E314" s="335">
        <f t="shared" si="4"/>
        <v>0</v>
      </c>
      <c r="F314" s="354"/>
      <c r="G314" s="354"/>
      <c r="H314" s="335">
        <v>0</v>
      </c>
      <c r="I314" s="217"/>
    </row>
    <row r="315" spans="1:9" ht="25.5">
      <c r="A315" s="401" t="s">
        <v>1969</v>
      </c>
      <c r="B315" s="800" t="s">
        <v>664</v>
      </c>
      <c r="C315" s="317" t="s">
        <v>1501</v>
      </c>
      <c r="D315" s="328"/>
      <c r="E315" s="359"/>
      <c r="F315" s="359"/>
      <c r="G315" s="359"/>
      <c r="H315" s="359">
        <v>0</v>
      </c>
    </row>
    <row r="316" spans="1:9">
      <c r="A316" s="402">
        <v>7</v>
      </c>
      <c r="B316" s="799">
        <v>305100600201000</v>
      </c>
      <c r="C316" s="320" t="s">
        <v>2194</v>
      </c>
      <c r="D316" s="329"/>
      <c r="E316" s="335">
        <f t="shared" si="4"/>
        <v>0</v>
      </c>
      <c r="F316" s="354"/>
      <c r="G316" s="354"/>
      <c r="H316" s="335">
        <v>0</v>
      </c>
      <c r="I316" s="217"/>
    </row>
    <row r="317" spans="1:9" ht="24">
      <c r="A317" s="402">
        <v>7</v>
      </c>
      <c r="B317" s="799">
        <v>305100600202000</v>
      </c>
      <c r="C317" s="320" t="s">
        <v>2195</v>
      </c>
      <c r="D317" s="329"/>
      <c r="E317" s="335">
        <f t="shared" si="4"/>
        <v>0</v>
      </c>
      <c r="F317" s="354"/>
      <c r="G317" s="354"/>
      <c r="H317" s="335">
        <v>0</v>
      </c>
      <c r="I317" s="217"/>
    </row>
    <row r="318" spans="1:9" ht="24">
      <c r="A318" s="402">
        <v>7</v>
      </c>
      <c r="B318" s="799">
        <v>305100600203000</v>
      </c>
      <c r="C318" s="320" t="s">
        <v>2196</v>
      </c>
      <c r="D318" s="329"/>
      <c r="E318" s="335">
        <f t="shared" si="4"/>
        <v>0</v>
      </c>
      <c r="F318" s="354"/>
      <c r="G318" s="354"/>
      <c r="H318" s="335">
        <v>0</v>
      </c>
      <c r="I318" s="217"/>
    </row>
    <row r="319" spans="1:9" ht="24">
      <c r="A319" s="402">
        <v>7</v>
      </c>
      <c r="B319" s="799">
        <v>305100600209000</v>
      </c>
      <c r="C319" s="320" t="s">
        <v>668</v>
      </c>
      <c r="D319" s="329"/>
      <c r="E319" s="335">
        <f t="shared" si="4"/>
        <v>0</v>
      </c>
      <c r="F319" s="355"/>
      <c r="G319" s="355"/>
      <c r="H319" s="335">
        <v>0</v>
      </c>
      <c r="I319" s="217"/>
    </row>
    <row r="320" spans="1:9" ht="38.25">
      <c r="A320" s="401" t="s">
        <v>1969</v>
      </c>
      <c r="B320" s="800" t="s">
        <v>669</v>
      </c>
      <c r="C320" s="317" t="s">
        <v>1502</v>
      </c>
      <c r="D320" s="328"/>
      <c r="E320" s="359"/>
      <c r="F320" s="359"/>
      <c r="G320" s="359"/>
      <c r="H320" s="359">
        <v>0</v>
      </c>
    </row>
    <row r="321" spans="1:9" ht="36">
      <c r="A321" s="402" t="s">
        <v>1970</v>
      </c>
      <c r="B321" s="799">
        <v>305100600250000</v>
      </c>
      <c r="C321" s="320" t="s">
        <v>2197</v>
      </c>
      <c r="D321" s="329"/>
      <c r="E321" s="335">
        <f t="shared" si="4"/>
        <v>0</v>
      </c>
      <c r="F321" s="354"/>
      <c r="G321" s="354"/>
      <c r="H321" s="335">
        <v>0</v>
      </c>
      <c r="I321" s="217"/>
    </row>
    <row r="322" spans="1:9" ht="25.5">
      <c r="A322" s="401" t="s">
        <v>1969</v>
      </c>
      <c r="B322" s="800" t="s">
        <v>670</v>
      </c>
      <c r="C322" s="317" t="s">
        <v>1503</v>
      </c>
      <c r="D322" s="328"/>
      <c r="E322" s="359"/>
      <c r="F322" s="359"/>
      <c r="G322" s="359"/>
      <c r="H322" s="359">
        <v>0</v>
      </c>
    </row>
    <row r="323" spans="1:9" ht="36">
      <c r="A323" s="402" t="s">
        <v>1970</v>
      </c>
      <c r="B323" s="799">
        <v>305100600300000</v>
      </c>
      <c r="C323" s="320" t="s">
        <v>2198</v>
      </c>
      <c r="D323" s="329"/>
      <c r="E323" s="335">
        <f t="shared" si="4"/>
        <v>0</v>
      </c>
      <c r="F323" s="354"/>
      <c r="G323" s="354"/>
      <c r="H323" s="335">
        <v>0</v>
      </c>
      <c r="I323" s="217"/>
    </row>
    <row r="324" spans="1:9" ht="24">
      <c r="A324" s="402">
        <v>7</v>
      </c>
      <c r="B324" s="801">
        <v>305100600301000</v>
      </c>
      <c r="C324" s="320" t="s">
        <v>567</v>
      </c>
      <c r="D324" s="329"/>
      <c r="E324" s="336">
        <f t="shared" si="4"/>
        <v>0</v>
      </c>
      <c r="F324" s="355"/>
      <c r="G324" s="355"/>
      <c r="H324" s="336">
        <v>0</v>
      </c>
      <c r="I324" s="217"/>
    </row>
    <row r="325" spans="1:9" ht="24">
      <c r="A325" s="402">
        <v>7</v>
      </c>
      <c r="B325" s="799">
        <v>305100600302000</v>
      </c>
      <c r="C325" s="320" t="s">
        <v>618</v>
      </c>
      <c r="D325" s="329"/>
      <c r="E325" s="336">
        <f t="shared" si="4"/>
        <v>0</v>
      </c>
      <c r="F325" s="355"/>
      <c r="G325" s="355"/>
      <c r="H325" s="336">
        <v>0</v>
      </c>
      <c r="I325" s="217"/>
    </row>
    <row r="326" spans="1:9">
      <c r="A326" s="401" t="s">
        <v>1969</v>
      </c>
      <c r="B326" s="800" t="s">
        <v>671</v>
      </c>
      <c r="C326" s="317" t="s">
        <v>1504</v>
      </c>
      <c r="D326" s="328"/>
      <c r="E326" s="359"/>
      <c r="F326" s="359"/>
      <c r="G326" s="359"/>
      <c r="H326" s="359">
        <v>0</v>
      </c>
    </row>
    <row r="327" spans="1:9">
      <c r="A327" s="402" t="s">
        <v>1970</v>
      </c>
      <c r="B327" s="799">
        <v>305100600401000</v>
      </c>
      <c r="C327" s="320" t="s">
        <v>672</v>
      </c>
      <c r="D327" s="329"/>
      <c r="E327" s="335">
        <f t="shared" ref="E327:E389" si="5">+F327+G327</f>
        <v>0</v>
      </c>
      <c r="F327" s="355"/>
      <c r="G327" s="355"/>
      <c r="H327" s="335">
        <v>0</v>
      </c>
      <c r="I327" s="217"/>
    </row>
    <row r="328" spans="1:9">
      <c r="A328" s="402" t="s">
        <v>1970</v>
      </c>
      <c r="B328" s="799">
        <v>305100600402000</v>
      </c>
      <c r="C328" s="320" t="s">
        <v>673</v>
      </c>
      <c r="D328" s="329"/>
      <c r="E328" s="335">
        <f t="shared" si="5"/>
        <v>0</v>
      </c>
      <c r="F328" s="354"/>
      <c r="G328" s="354"/>
      <c r="H328" s="335">
        <v>0</v>
      </c>
      <c r="I328" s="217"/>
    </row>
    <row r="329" spans="1:9">
      <c r="A329" s="402" t="s">
        <v>1970</v>
      </c>
      <c r="B329" s="799">
        <v>305100600403000</v>
      </c>
      <c r="C329" s="320" t="s">
        <v>665</v>
      </c>
      <c r="D329" s="329"/>
      <c r="E329" s="335">
        <f t="shared" si="5"/>
        <v>0</v>
      </c>
      <c r="F329" s="354"/>
      <c r="G329" s="354"/>
      <c r="H329" s="335">
        <v>0</v>
      </c>
      <c r="I329" s="217"/>
    </row>
    <row r="330" spans="1:9" ht="24">
      <c r="A330" s="402" t="s">
        <v>1970</v>
      </c>
      <c r="B330" s="799">
        <v>305100600404000</v>
      </c>
      <c r="C330" s="320" t="s">
        <v>666</v>
      </c>
      <c r="D330" s="329"/>
      <c r="E330" s="335">
        <f t="shared" si="5"/>
        <v>0</v>
      </c>
      <c r="F330" s="354"/>
      <c r="G330" s="354"/>
      <c r="H330" s="335">
        <v>0</v>
      </c>
      <c r="I330" s="217"/>
    </row>
    <row r="331" spans="1:9">
      <c r="A331" s="402" t="s">
        <v>1970</v>
      </c>
      <c r="B331" s="799">
        <v>305100600405000</v>
      </c>
      <c r="C331" s="320" t="s">
        <v>667</v>
      </c>
      <c r="D331" s="329"/>
      <c r="E331" s="335">
        <f t="shared" si="5"/>
        <v>0</v>
      </c>
      <c r="F331" s="354"/>
      <c r="G331" s="354"/>
      <c r="H331" s="335">
        <v>0</v>
      </c>
      <c r="I331" s="217"/>
    </row>
    <row r="332" spans="1:9" ht="24">
      <c r="A332" s="402" t="s">
        <v>1970</v>
      </c>
      <c r="B332" s="799">
        <v>305100600406000</v>
      </c>
      <c r="C332" s="320" t="s">
        <v>2199</v>
      </c>
      <c r="D332" s="329"/>
      <c r="E332" s="335">
        <f t="shared" si="5"/>
        <v>0</v>
      </c>
      <c r="F332" s="354"/>
      <c r="G332" s="354"/>
      <c r="H332" s="335">
        <v>0</v>
      </c>
      <c r="I332" s="217"/>
    </row>
    <row r="333" spans="1:9">
      <c r="A333" s="402" t="s">
        <v>1970</v>
      </c>
      <c r="B333" s="799">
        <v>305100600407000</v>
      </c>
      <c r="C333" s="320" t="s">
        <v>674</v>
      </c>
      <c r="D333" s="329"/>
      <c r="E333" s="335">
        <f t="shared" si="5"/>
        <v>0</v>
      </c>
      <c r="F333" s="354"/>
      <c r="G333" s="354"/>
      <c r="H333" s="335">
        <v>0</v>
      </c>
      <c r="I333" s="217"/>
    </row>
    <row r="334" spans="1:9">
      <c r="A334" s="402" t="s">
        <v>1970</v>
      </c>
      <c r="B334" s="799">
        <v>305100600409000</v>
      </c>
      <c r="C334" s="320" t="s">
        <v>675</v>
      </c>
      <c r="D334" s="329"/>
      <c r="E334" s="335">
        <f t="shared" si="5"/>
        <v>0</v>
      </c>
      <c r="F334" s="354"/>
      <c r="G334" s="354"/>
      <c r="H334" s="335">
        <v>0</v>
      </c>
      <c r="I334" s="217"/>
    </row>
    <row r="335" spans="1:9">
      <c r="A335" s="401" t="s">
        <v>1969</v>
      </c>
      <c r="B335" s="800" t="s">
        <v>676</v>
      </c>
      <c r="C335" s="317" t="s">
        <v>1505</v>
      </c>
      <c r="D335" s="328"/>
      <c r="E335" s="359"/>
      <c r="F335" s="359"/>
      <c r="G335" s="359"/>
      <c r="H335" s="359">
        <v>0</v>
      </c>
    </row>
    <row r="336" spans="1:9" ht="24">
      <c r="A336" s="402" t="s">
        <v>1970</v>
      </c>
      <c r="B336" s="799">
        <v>305100600501000</v>
      </c>
      <c r="C336" s="320" t="s">
        <v>2200</v>
      </c>
      <c r="D336" s="329"/>
      <c r="E336" s="335">
        <f t="shared" si="5"/>
        <v>0</v>
      </c>
      <c r="F336" s="354"/>
      <c r="G336" s="354"/>
      <c r="H336" s="335">
        <v>0</v>
      </c>
      <c r="I336" s="217"/>
    </row>
    <row r="337" spans="1:9">
      <c r="A337" s="402" t="s">
        <v>1970</v>
      </c>
      <c r="B337" s="799">
        <v>305100600509000</v>
      </c>
      <c r="C337" s="320" t="s">
        <v>677</v>
      </c>
      <c r="D337" s="329"/>
      <c r="E337" s="335">
        <f t="shared" si="5"/>
        <v>0</v>
      </c>
      <c r="F337" s="354"/>
      <c r="G337" s="354"/>
      <c r="H337" s="335">
        <v>0</v>
      </c>
      <c r="I337" s="217"/>
    </row>
    <row r="338" spans="1:9" ht="25.5">
      <c r="A338" s="401" t="s">
        <v>1967</v>
      </c>
      <c r="B338" s="800" t="s">
        <v>678</v>
      </c>
      <c r="C338" s="317" t="s">
        <v>2201</v>
      </c>
      <c r="D338" s="328"/>
      <c r="E338" s="359"/>
      <c r="F338" s="359"/>
      <c r="G338" s="359"/>
      <c r="H338" s="359">
        <v>0</v>
      </c>
    </row>
    <row r="339" spans="1:9" ht="25.5">
      <c r="A339" s="401" t="s">
        <v>1969</v>
      </c>
      <c r="B339" s="800" t="s">
        <v>680</v>
      </c>
      <c r="C339" s="317" t="s">
        <v>2202</v>
      </c>
      <c r="D339" s="328"/>
      <c r="E339" s="359"/>
      <c r="F339" s="359"/>
      <c r="G339" s="359"/>
      <c r="H339" s="359">
        <v>0</v>
      </c>
    </row>
    <row r="340" spans="1:9" ht="24">
      <c r="A340" s="402" t="s">
        <v>1970</v>
      </c>
      <c r="B340" s="799">
        <v>305100650100000</v>
      </c>
      <c r="C340" s="320" t="s">
        <v>679</v>
      </c>
      <c r="D340" s="329"/>
      <c r="E340" s="335">
        <f t="shared" si="5"/>
        <v>0</v>
      </c>
      <c r="F340" s="354"/>
      <c r="G340" s="354"/>
      <c r="H340" s="335">
        <v>0</v>
      </c>
      <c r="I340" s="217"/>
    </row>
    <row r="341" spans="1:9" ht="25.5">
      <c r="A341" s="401" t="s">
        <v>1969</v>
      </c>
      <c r="B341" s="800" t="s">
        <v>682</v>
      </c>
      <c r="C341" s="317" t="s">
        <v>2203</v>
      </c>
      <c r="D341" s="328"/>
      <c r="E341" s="359"/>
      <c r="F341" s="359"/>
      <c r="G341" s="359"/>
      <c r="H341" s="359">
        <v>0</v>
      </c>
    </row>
    <row r="342" spans="1:9" ht="24">
      <c r="A342" s="402" t="s">
        <v>1970</v>
      </c>
      <c r="B342" s="799">
        <v>305100650200000</v>
      </c>
      <c r="C342" s="320" t="s">
        <v>681</v>
      </c>
      <c r="D342" s="329"/>
      <c r="E342" s="335">
        <f t="shared" si="5"/>
        <v>0</v>
      </c>
      <c r="F342" s="354"/>
      <c r="G342" s="354"/>
      <c r="H342" s="335">
        <v>0</v>
      </c>
      <c r="I342" s="217"/>
    </row>
    <row r="343" spans="1:9" ht="25.5">
      <c r="A343" s="401" t="s">
        <v>1969</v>
      </c>
      <c r="B343" s="800" t="s">
        <v>684</v>
      </c>
      <c r="C343" s="317" t="s">
        <v>2204</v>
      </c>
      <c r="D343" s="328"/>
      <c r="E343" s="359"/>
      <c r="F343" s="359"/>
      <c r="G343" s="359"/>
      <c r="H343" s="359">
        <v>0</v>
      </c>
    </row>
    <row r="344" spans="1:9" ht="24">
      <c r="A344" s="402" t="s">
        <v>1970</v>
      </c>
      <c r="B344" s="799">
        <v>305100650300000</v>
      </c>
      <c r="C344" s="320" t="s">
        <v>683</v>
      </c>
      <c r="D344" s="329"/>
      <c r="E344" s="335">
        <f t="shared" si="5"/>
        <v>0</v>
      </c>
      <c r="F344" s="354"/>
      <c r="G344" s="354"/>
      <c r="H344" s="335">
        <v>0</v>
      </c>
      <c r="I344" s="217"/>
    </row>
    <row r="345" spans="1:9" ht="38.25">
      <c r="A345" s="401" t="s">
        <v>1969</v>
      </c>
      <c r="B345" s="800" t="s">
        <v>685</v>
      </c>
      <c r="C345" s="317" t="s">
        <v>2205</v>
      </c>
      <c r="D345" s="328"/>
      <c r="E345" s="359"/>
      <c r="F345" s="359"/>
      <c r="G345" s="359"/>
      <c r="H345" s="359">
        <v>0</v>
      </c>
    </row>
    <row r="346" spans="1:9" ht="24">
      <c r="A346" s="402" t="s">
        <v>1970</v>
      </c>
      <c r="B346" s="799">
        <v>305100650401000</v>
      </c>
      <c r="C346" s="320" t="s">
        <v>686</v>
      </c>
      <c r="D346" s="329"/>
      <c r="E346" s="335">
        <f t="shared" si="5"/>
        <v>0</v>
      </c>
      <c r="F346" s="354"/>
      <c r="G346" s="354"/>
      <c r="H346" s="335">
        <v>0</v>
      </c>
      <c r="I346" s="217"/>
    </row>
    <row r="347" spans="1:9" ht="24">
      <c r="A347" s="402" t="s">
        <v>1970</v>
      </c>
      <c r="B347" s="799">
        <v>305100650402000</v>
      </c>
      <c r="C347" s="320" t="s">
        <v>687</v>
      </c>
      <c r="D347" s="329"/>
      <c r="E347" s="335">
        <f t="shared" si="5"/>
        <v>0</v>
      </c>
      <c r="F347" s="354"/>
      <c r="G347" s="354"/>
      <c r="H347" s="335">
        <v>0</v>
      </c>
      <c r="I347" s="217"/>
    </row>
    <row r="348" spans="1:9" ht="24">
      <c r="A348" s="402" t="s">
        <v>1970</v>
      </c>
      <c r="B348" s="799">
        <v>305100650403000</v>
      </c>
      <c r="C348" s="320" t="s">
        <v>688</v>
      </c>
      <c r="D348" s="329"/>
      <c r="E348" s="335">
        <f t="shared" si="5"/>
        <v>0</v>
      </c>
      <c r="F348" s="354"/>
      <c r="G348" s="354"/>
      <c r="H348" s="335">
        <v>0</v>
      </c>
      <c r="I348" s="217"/>
    </row>
    <row r="349" spans="1:9" ht="36">
      <c r="A349" s="402" t="s">
        <v>1970</v>
      </c>
      <c r="B349" s="799">
        <v>305100650409000</v>
      </c>
      <c r="C349" s="320" t="s">
        <v>2206</v>
      </c>
      <c r="D349" s="329"/>
      <c r="E349" s="335">
        <f t="shared" si="5"/>
        <v>0</v>
      </c>
      <c r="F349" s="354"/>
      <c r="G349" s="354"/>
      <c r="H349" s="335">
        <v>0</v>
      </c>
      <c r="I349" s="217"/>
    </row>
    <row r="350" spans="1:9" ht="51">
      <c r="A350" s="401" t="s">
        <v>1969</v>
      </c>
      <c r="B350" s="800" t="s">
        <v>689</v>
      </c>
      <c r="C350" s="317" t="s">
        <v>2207</v>
      </c>
      <c r="D350" s="328" t="s">
        <v>1248</v>
      </c>
      <c r="E350" s="359"/>
      <c r="F350" s="359"/>
      <c r="G350" s="359"/>
      <c r="H350" s="359">
        <v>0</v>
      </c>
    </row>
    <row r="351" spans="1:9" ht="24">
      <c r="A351" s="402" t="s">
        <v>1970</v>
      </c>
      <c r="B351" s="799">
        <v>305100650501000</v>
      </c>
      <c r="C351" s="320" t="s">
        <v>2208</v>
      </c>
      <c r="D351" s="329" t="s">
        <v>1248</v>
      </c>
      <c r="E351" s="335">
        <f t="shared" si="5"/>
        <v>0</v>
      </c>
      <c r="F351" s="354"/>
      <c r="G351" s="354"/>
      <c r="H351" s="335">
        <v>0</v>
      </c>
      <c r="I351" s="217"/>
    </row>
    <row r="352" spans="1:9" ht="36">
      <c r="A352" s="402" t="s">
        <v>1970</v>
      </c>
      <c r="B352" s="799">
        <v>305100650502000</v>
      </c>
      <c r="C352" s="320" t="s">
        <v>2209</v>
      </c>
      <c r="D352" s="329" t="s">
        <v>1248</v>
      </c>
      <c r="E352" s="335">
        <f t="shared" si="5"/>
        <v>0</v>
      </c>
      <c r="F352" s="354"/>
      <c r="G352" s="354"/>
      <c r="H352" s="335">
        <v>0</v>
      </c>
      <c r="I352" s="217"/>
    </row>
    <row r="353" spans="1:9" ht="24">
      <c r="A353" s="402" t="s">
        <v>1970</v>
      </c>
      <c r="B353" s="799">
        <v>305100650503000</v>
      </c>
      <c r="C353" s="320" t="s">
        <v>2210</v>
      </c>
      <c r="D353" s="329" t="s">
        <v>1248</v>
      </c>
      <c r="E353" s="335">
        <f t="shared" si="5"/>
        <v>0</v>
      </c>
      <c r="F353" s="354"/>
      <c r="G353" s="354"/>
      <c r="H353" s="335">
        <v>0</v>
      </c>
      <c r="I353" s="217"/>
    </row>
    <row r="354" spans="1:9" ht="36">
      <c r="A354" s="402" t="s">
        <v>1970</v>
      </c>
      <c r="B354" s="799">
        <v>305100650509000</v>
      </c>
      <c r="C354" s="320" t="s">
        <v>2211</v>
      </c>
      <c r="D354" s="329" t="s">
        <v>1248</v>
      </c>
      <c r="E354" s="335">
        <f t="shared" si="5"/>
        <v>0</v>
      </c>
      <c r="F354" s="354"/>
      <c r="G354" s="354"/>
      <c r="H354" s="335">
        <v>0</v>
      </c>
      <c r="I354" s="217"/>
    </row>
    <row r="355" spans="1:9" ht="25.5">
      <c r="A355" s="401" t="s">
        <v>1969</v>
      </c>
      <c r="B355" s="800" t="s">
        <v>690</v>
      </c>
      <c r="C355" s="317" t="s">
        <v>2212</v>
      </c>
      <c r="D355" s="328"/>
      <c r="E355" s="359"/>
      <c r="F355" s="359"/>
      <c r="G355" s="359"/>
      <c r="H355" s="359">
        <v>0</v>
      </c>
    </row>
    <row r="356" spans="1:9" ht="24">
      <c r="A356" s="402" t="s">
        <v>1970</v>
      </c>
      <c r="B356" s="799">
        <v>305100650600500</v>
      </c>
      <c r="C356" s="320" t="s">
        <v>691</v>
      </c>
      <c r="D356" s="329"/>
      <c r="E356" s="335">
        <f t="shared" si="5"/>
        <v>0</v>
      </c>
      <c r="F356" s="354"/>
      <c r="G356" s="354"/>
      <c r="H356" s="335">
        <v>0</v>
      </c>
      <c r="I356" s="217"/>
    </row>
    <row r="357" spans="1:9" ht="24">
      <c r="A357" s="402" t="s">
        <v>1970</v>
      </c>
      <c r="B357" s="799">
        <v>305100650601000</v>
      </c>
      <c r="C357" s="320" t="s">
        <v>2213</v>
      </c>
      <c r="D357" s="329"/>
      <c r="E357" s="335">
        <f t="shared" si="5"/>
        <v>0</v>
      </c>
      <c r="F357" s="354"/>
      <c r="G357" s="354"/>
      <c r="H357" s="335">
        <v>0</v>
      </c>
      <c r="I357" s="217"/>
    </row>
    <row r="358" spans="1:9" ht="24">
      <c r="A358" s="402" t="s">
        <v>1970</v>
      </c>
      <c r="B358" s="799">
        <v>305100650601500</v>
      </c>
      <c r="C358" s="320" t="s">
        <v>2214</v>
      </c>
      <c r="D358" s="329"/>
      <c r="E358" s="335">
        <f t="shared" si="5"/>
        <v>0</v>
      </c>
      <c r="F358" s="354"/>
      <c r="G358" s="354"/>
      <c r="H358" s="335">
        <v>0</v>
      </c>
      <c r="I358" s="217"/>
    </row>
    <row r="359" spans="1:9" ht="24">
      <c r="A359" s="402" t="s">
        <v>1970</v>
      </c>
      <c r="B359" s="799">
        <v>305100650602000</v>
      </c>
      <c r="C359" s="320" t="s">
        <v>692</v>
      </c>
      <c r="D359" s="329"/>
      <c r="E359" s="335">
        <f t="shared" si="5"/>
        <v>0</v>
      </c>
      <c r="F359" s="354"/>
      <c r="G359" s="354"/>
      <c r="H359" s="335">
        <v>0</v>
      </c>
      <c r="I359" s="217"/>
    </row>
    <row r="360" spans="1:9" ht="24">
      <c r="A360" s="402" t="s">
        <v>1970</v>
      </c>
      <c r="B360" s="799">
        <v>305100650602500</v>
      </c>
      <c r="C360" s="320" t="s">
        <v>693</v>
      </c>
      <c r="D360" s="329"/>
      <c r="E360" s="335">
        <f t="shared" si="5"/>
        <v>0</v>
      </c>
      <c r="F360" s="354"/>
      <c r="G360" s="354"/>
      <c r="H360" s="335">
        <v>0</v>
      </c>
      <c r="I360" s="217"/>
    </row>
    <row r="361" spans="1:9" ht="24">
      <c r="A361" s="402" t="s">
        <v>1970</v>
      </c>
      <c r="B361" s="799">
        <v>305100650603000</v>
      </c>
      <c r="C361" s="320" t="s">
        <v>694</v>
      </c>
      <c r="D361" s="329"/>
      <c r="E361" s="335">
        <f t="shared" si="5"/>
        <v>0</v>
      </c>
      <c r="F361" s="354"/>
      <c r="G361" s="354"/>
      <c r="H361" s="335">
        <v>0</v>
      </c>
      <c r="I361" s="217"/>
    </row>
    <row r="362" spans="1:9" ht="24">
      <c r="A362" s="402" t="s">
        <v>1970</v>
      </c>
      <c r="B362" s="799">
        <v>305100650603500</v>
      </c>
      <c r="C362" s="320" t="s">
        <v>2215</v>
      </c>
      <c r="D362" s="329"/>
      <c r="E362" s="335">
        <f t="shared" si="5"/>
        <v>0</v>
      </c>
      <c r="F362" s="354"/>
      <c r="G362" s="354"/>
      <c r="H362" s="335">
        <v>0</v>
      </c>
      <c r="I362" s="217"/>
    </row>
    <row r="363" spans="1:9">
      <c r="A363" s="402" t="s">
        <v>1970</v>
      </c>
      <c r="B363" s="799">
        <v>305100650604000</v>
      </c>
      <c r="C363" s="320" t="s">
        <v>695</v>
      </c>
      <c r="D363" s="329"/>
      <c r="E363" s="335">
        <f t="shared" si="5"/>
        <v>0</v>
      </c>
      <c r="F363" s="354"/>
      <c r="G363" s="354"/>
      <c r="H363" s="335">
        <v>0</v>
      </c>
      <c r="I363" s="217"/>
    </row>
    <row r="364" spans="1:9">
      <c r="A364" s="402" t="s">
        <v>1970</v>
      </c>
      <c r="B364" s="799">
        <v>305100650604500</v>
      </c>
      <c r="C364" s="320" t="s">
        <v>696</v>
      </c>
      <c r="D364" s="329"/>
      <c r="E364" s="335">
        <f t="shared" si="5"/>
        <v>0</v>
      </c>
      <c r="F364" s="354"/>
      <c r="G364" s="354"/>
      <c r="H364" s="335">
        <v>0</v>
      </c>
      <c r="I364" s="217"/>
    </row>
    <row r="365" spans="1:9" ht="24">
      <c r="A365" s="402" t="s">
        <v>1970</v>
      </c>
      <c r="B365" s="799">
        <v>305100650605000</v>
      </c>
      <c r="C365" s="320" t="s">
        <v>2598</v>
      </c>
      <c r="D365" s="329"/>
      <c r="E365" s="335">
        <f t="shared" si="5"/>
        <v>0</v>
      </c>
      <c r="F365" s="354"/>
      <c r="G365" s="354"/>
      <c r="H365" s="335">
        <v>0</v>
      </c>
      <c r="I365" s="217"/>
    </row>
    <row r="366" spans="1:9" ht="24">
      <c r="A366" s="402" t="s">
        <v>1970</v>
      </c>
      <c r="B366" s="799">
        <v>305100650609000</v>
      </c>
      <c r="C366" s="320" t="s">
        <v>2599</v>
      </c>
      <c r="D366" s="329"/>
      <c r="E366" s="335">
        <f t="shared" si="5"/>
        <v>0</v>
      </c>
      <c r="F366" s="354"/>
      <c r="G366" s="354"/>
      <c r="H366" s="335">
        <v>4399.26</v>
      </c>
      <c r="I366" s="217"/>
    </row>
    <row r="367" spans="1:9" ht="38.25">
      <c r="A367" s="401" t="s">
        <v>1969</v>
      </c>
      <c r="B367" s="800" t="s">
        <v>697</v>
      </c>
      <c r="C367" s="317" t="s">
        <v>2216</v>
      </c>
      <c r="D367" s="328" t="s">
        <v>1248</v>
      </c>
      <c r="E367" s="359"/>
      <c r="F367" s="359"/>
      <c r="G367" s="359"/>
      <c r="H367" s="359">
        <v>0</v>
      </c>
    </row>
    <row r="368" spans="1:9" ht="24">
      <c r="A368" s="402" t="s">
        <v>1970</v>
      </c>
      <c r="B368" s="799">
        <v>305100650700500</v>
      </c>
      <c r="C368" s="320" t="s">
        <v>2217</v>
      </c>
      <c r="D368" s="329" t="s">
        <v>1248</v>
      </c>
      <c r="E368" s="335">
        <f t="shared" si="5"/>
        <v>0</v>
      </c>
      <c r="F368" s="354"/>
      <c r="G368" s="354"/>
      <c r="H368" s="335">
        <v>0</v>
      </c>
      <c r="I368" s="217"/>
    </row>
    <row r="369" spans="1:9" ht="24">
      <c r="A369" s="402" t="s">
        <v>1970</v>
      </c>
      <c r="B369" s="799">
        <v>305100650701000</v>
      </c>
      <c r="C369" s="320" t="s">
        <v>2218</v>
      </c>
      <c r="D369" s="329" t="s">
        <v>1248</v>
      </c>
      <c r="E369" s="335">
        <f t="shared" si="5"/>
        <v>0</v>
      </c>
      <c r="F369" s="354"/>
      <c r="G369" s="354"/>
      <c r="H369" s="335">
        <v>0</v>
      </c>
      <c r="I369" s="217"/>
    </row>
    <row r="370" spans="1:9" ht="24">
      <c r="A370" s="402" t="s">
        <v>1970</v>
      </c>
      <c r="B370" s="799">
        <v>305100650701500</v>
      </c>
      <c r="C370" s="320" t="s">
        <v>2219</v>
      </c>
      <c r="D370" s="329" t="s">
        <v>1248</v>
      </c>
      <c r="E370" s="335">
        <f t="shared" si="5"/>
        <v>0</v>
      </c>
      <c r="F370" s="354"/>
      <c r="G370" s="354"/>
      <c r="H370" s="335">
        <v>0</v>
      </c>
      <c r="I370" s="217"/>
    </row>
    <row r="371" spans="1:9" ht="24">
      <c r="A371" s="402" t="s">
        <v>1970</v>
      </c>
      <c r="B371" s="799">
        <v>305100650702000</v>
      </c>
      <c r="C371" s="320" t="s">
        <v>2220</v>
      </c>
      <c r="D371" s="329" t="s">
        <v>1248</v>
      </c>
      <c r="E371" s="335">
        <f t="shared" si="5"/>
        <v>0</v>
      </c>
      <c r="F371" s="354"/>
      <c r="G371" s="354"/>
      <c r="H371" s="335">
        <v>0</v>
      </c>
      <c r="I371" s="217"/>
    </row>
    <row r="372" spans="1:9" ht="24">
      <c r="A372" s="402" t="s">
        <v>1970</v>
      </c>
      <c r="B372" s="799">
        <v>305100650702500</v>
      </c>
      <c r="C372" s="320" t="s">
        <v>2221</v>
      </c>
      <c r="D372" s="329" t="s">
        <v>1248</v>
      </c>
      <c r="E372" s="335">
        <f t="shared" si="5"/>
        <v>0</v>
      </c>
      <c r="F372" s="354"/>
      <c r="G372" s="354"/>
      <c r="H372" s="335">
        <v>0</v>
      </c>
      <c r="I372" s="217"/>
    </row>
    <row r="373" spans="1:9" ht="24">
      <c r="A373" s="402" t="s">
        <v>1970</v>
      </c>
      <c r="B373" s="799">
        <v>305100650703000</v>
      </c>
      <c r="C373" s="320" t="s">
        <v>2222</v>
      </c>
      <c r="D373" s="329" t="s">
        <v>1248</v>
      </c>
      <c r="E373" s="335">
        <f t="shared" si="5"/>
        <v>0</v>
      </c>
      <c r="F373" s="354"/>
      <c r="G373" s="354"/>
      <c r="H373" s="335">
        <v>0</v>
      </c>
      <c r="I373" s="217"/>
    </row>
    <row r="374" spans="1:9" ht="24">
      <c r="A374" s="402" t="s">
        <v>1970</v>
      </c>
      <c r="B374" s="799">
        <v>305100650703500</v>
      </c>
      <c r="C374" s="320" t="s">
        <v>2223</v>
      </c>
      <c r="D374" s="329" t="s">
        <v>1248</v>
      </c>
      <c r="E374" s="335">
        <f t="shared" si="5"/>
        <v>0</v>
      </c>
      <c r="F374" s="354"/>
      <c r="G374" s="354"/>
      <c r="H374" s="335">
        <v>0</v>
      </c>
      <c r="I374" s="217"/>
    </row>
    <row r="375" spans="1:9" ht="24">
      <c r="A375" s="402" t="s">
        <v>1970</v>
      </c>
      <c r="B375" s="799">
        <v>305100650704000</v>
      </c>
      <c r="C375" s="320" t="s">
        <v>2600</v>
      </c>
      <c r="D375" s="329" t="s">
        <v>1248</v>
      </c>
      <c r="E375" s="335">
        <f t="shared" si="5"/>
        <v>0</v>
      </c>
      <c r="F375" s="354"/>
      <c r="G375" s="354"/>
      <c r="H375" s="335">
        <v>0</v>
      </c>
      <c r="I375" s="217"/>
    </row>
    <row r="376" spans="1:9" ht="36">
      <c r="A376" s="402" t="s">
        <v>1970</v>
      </c>
      <c r="B376" s="799">
        <v>305100650709000</v>
      </c>
      <c r="C376" s="320" t="s">
        <v>2601</v>
      </c>
      <c r="D376" s="329" t="s">
        <v>1248</v>
      </c>
      <c r="E376" s="335">
        <f t="shared" si="5"/>
        <v>0</v>
      </c>
      <c r="F376" s="354"/>
      <c r="G376" s="354"/>
      <c r="H376" s="335">
        <v>0</v>
      </c>
      <c r="I376" s="217"/>
    </row>
    <row r="377" spans="1:9">
      <c r="A377" s="401" t="s">
        <v>1967</v>
      </c>
      <c r="B377" s="800" t="s">
        <v>698</v>
      </c>
      <c r="C377" s="317" t="s">
        <v>2224</v>
      </c>
      <c r="D377" s="328"/>
      <c r="E377" s="359"/>
      <c r="F377" s="359"/>
      <c r="G377" s="359"/>
      <c r="H377" s="359">
        <v>0</v>
      </c>
    </row>
    <row r="378" spans="1:9">
      <c r="A378" s="401" t="s">
        <v>1969</v>
      </c>
      <c r="B378" s="800" t="s">
        <v>700</v>
      </c>
      <c r="C378" s="317" t="s">
        <v>2225</v>
      </c>
      <c r="D378" s="328"/>
      <c r="E378" s="359"/>
      <c r="F378" s="359"/>
      <c r="G378" s="359"/>
      <c r="H378" s="359">
        <v>0</v>
      </c>
    </row>
    <row r="379" spans="1:9">
      <c r="A379" s="402" t="s">
        <v>1970</v>
      </c>
      <c r="B379" s="799">
        <v>305100700100000</v>
      </c>
      <c r="C379" s="320" t="s">
        <v>699</v>
      </c>
      <c r="D379" s="329"/>
      <c r="E379" s="335">
        <f t="shared" si="5"/>
        <v>2936718.89</v>
      </c>
      <c r="F379" s="354">
        <v>2936718.89</v>
      </c>
      <c r="G379" s="354"/>
      <c r="H379" s="335">
        <v>2275663.12</v>
      </c>
      <c r="I379" s="217"/>
    </row>
    <row r="380" spans="1:9">
      <c r="A380" s="401" t="s">
        <v>1969</v>
      </c>
      <c r="B380" s="800" t="s">
        <v>702</v>
      </c>
      <c r="C380" s="317" t="s">
        <v>2226</v>
      </c>
      <c r="D380" s="328"/>
      <c r="E380" s="359"/>
      <c r="F380" s="359"/>
      <c r="G380" s="359"/>
      <c r="H380" s="359">
        <v>0</v>
      </c>
    </row>
    <row r="381" spans="1:9">
      <c r="A381" s="402" t="s">
        <v>1970</v>
      </c>
      <c r="B381" s="799">
        <v>305100700200000</v>
      </c>
      <c r="C381" s="320" t="s">
        <v>701</v>
      </c>
      <c r="D381" s="329"/>
      <c r="E381" s="335">
        <f t="shared" si="5"/>
        <v>0</v>
      </c>
      <c r="F381" s="354"/>
      <c r="G381" s="354"/>
      <c r="H381" s="335">
        <v>0</v>
      </c>
      <c r="I381" s="217"/>
    </row>
    <row r="382" spans="1:9" ht="25.5">
      <c r="A382" s="401" t="s">
        <v>1969</v>
      </c>
      <c r="B382" s="800" t="s">
        <v>704</v>
      </c>
      <c r="C382" s="317" t="s">
        <v>2227</v>
      </c>
      <c r="D382" s="328"/>
      <c r="E382" s="359"/>
      <c r="F382" s="359"/>
      <c r="G382" s="359"/>
      <c r="H382" s="359">
        <v>0</v>
      </c>
    </row>
    <row r="383" spans="1:9" ht="24">
      <c r="A383" s="402" t="s">
        <v>1970</v>
      </c>
      <c r="B383" s="799">
        <v>305100700300000</v>
      </c>
      <c r="C383" s="320" t="s">
        <v>703</v>
      </c>
      <c r="D383" s="329"/>
      <c r="E383" s="335">
        <f t="shared" si="5"/>
        <v>0</v>
      </c>
      <c r="F383" s="354"/>
      <c r="G383" s="354"/>
      <c r="H383" s="335">
        <v>0</v>
      </c>
      <c r="I383" s="217"/>
    </row>
    <row r="384" spans="1:9">
      <c r="A384" s="401" t="s">
        <v>1969</v>
      </c>
      <c r="B384" s="800" t="s">
        <v>706</v>
      </c>
      <c r="C384" s="317" t="s">
        <v>2228</v>
      </c>
      <c r="D384" s="328"/>
      <c r="E384" s="359"/>
      <c r="F384" s="359"/>
      <c r="G384" s="359"/>
      <c r="H384" s="359">
        <v>0</v>
      </c>
    </row>
    <row r="385" spans="1:9">
      <c r="A385" s="402" t="s">
        <v>1970</v>
      </c>
      <c r="B385" s="799">
        <v>305100700400000</v>
      </c>
      <c r="C385" s="320" t="s">
        <v>705</v>
      </c>
      <c r="D385" s="329"/>
      <c r="E385" s="335">
        <f t="shared" si="5"/>
        <v>0</v>
      </c>
      <c r="F385" s="354"/>
      <c r="G385" s="354"/>
      <c r="H385" s="335">
        <v>0</v>
      </c>
      <c r="I385" s="217"/>
    </row>
    <row r="386" spans="1:9">
      <c r="A386" s="401" t="s">
        <v>1969</v>
      </c>
      <c r="B386" s="800" t="s">
        <v>708</v>
      </c>
      <c r="C386" s="317" t="s">
        <v>2229</v>
      </c>
      <c r="D386" s="328"/>
      <c r="E386" s="359"/>
      <c r="F386" s="359"/>
      <c r="G386" s="359"/>
      <c r="H386" s="359">
        <v>0</v>
      </c>
    </row>
    <row r="387" spans="1:9">
      <c r="A387" s="402" t="s">
        <v>1970</v>
      </c>
      <c r="B387" s="799">
        <v>305100700500500</v>
      </c>
      <c r="C387" s="320" t="s">
        <v>709</v>
      </c>
      <c r="D387" s="329"/>
      <c r="E387" s="335">
        <f t="shared" si="5"/>
        <v>0</v>
      </c>
      <c r="F387" s="354"/>
      <c r="G387" s="354"/>
      <c r="H387" s="335">
        <v>0</v>
      </c>
      <c r="I387" s="217"/>
    </row>
    <row r="388" spans="1:9">
      <c r="A388" s="402" t="s">
        <v>1970</v>
      </c>
      <c r="B388" s="799">
        <v>305100700501000</v>
      </c>
      <c r="C388" s="320" t="s">
        <v>710</v>
      </c>
      <c r="D388" s="329"/>
      <c r="E388" s="335">
        <f t="shared" si="5"/>
        <v>0</v>
      </c>
      <c r="F388" s="354"/>
      <c r="G388" s="354"/>
      <c r="H388" s="335">
        <v>0</v>
      </c>
      <c r="I388" s="217"/>
    </row>
    <row r="389" spans="1:9">
      <c r="A389" s="402" t="s">
        <v>1970</v>
      </c>
      <c r="B389" s="799">
        <v>305100700501500</v>
      </c>
      <c r="C389" s="320" t="s">
        <v>711</v>
      </c>
      <c r="D389" s="329"/>
      <c r="E389" s="335">
        <f t="shared" si="5"/>
        <v>0</v>
      </c>
      <c r="F389" s="354"/>
      <c r="G389" s="354"/>
      <c r="H389" s="335">
        <v>0</v>
      </c>
      <c r="I389" s="217"/>
    </row>
    <row r="390" spans="1:9">
      <c r="A390" s="402" t="s">
        <v>1970</v>
      </c>
      <c r="B390" s="799">
        <v>305100700502000</v>
      </c>
      <c r="C390" s="320" t="s">
        <v>712</v>
      </c>
      <c r="D390" s="329"/>
      <c r="E390" s="335">
        <f t="shared" ref="E390:E453" si="6">+F390+G390</f>
        <v>0</v>
      </c>
      <c r="F390" s="354"/>
      <c r="G390" s="354"/>
      <c r="H390" s="335">
        <v>0</v>
      </c>
      <c r="I390" s="217"/>
    </row>
    <row r="391" spans="1:9">
      <c r="A391" s="402" t="s">
        <v>1970</v>
      </c>
      <c r="B391" s="799">
        <v>305100700502500</v>
      </c>
      <c r="C391" s="320" t="s">
        <v>713</v>
      </c>
      <c r="D391" s="329"/>
      <c r="E391" s="335">
        <f t="shared" si="6"/>
        <v>0</v>
      </c>
      <c r="F391" s="354"/>
      <c r="G391" s="354"/>
      <c r="H391" s="335">
        <v>0</v>
      </c>
      <c r="I391" s="217"/>
    </row>
    <row r="392" spans="1:9">
      <c r="A392" s="402" t="s">
        <v>1970</v>
      </c>
      <c r="B392" s="799">
        <v>305100700503000</v>
      </c>
      <c r="C392" s="320" t="s">
        <v>714</v>
      </c>
      <c r="D392" s="329"/>
      <c r="E392" s="335">
        <f t="shared" si="6"/>
        <v>0</v>
      </c>
      <c r="F392" s="354"/>
      <c r="G392" s="354"/>
      <c r="H392" s="335">
        <v>0</v>
      </c>
      <c r="I392" s="217"/>
    </row>
    <row r="393" spans="1:9">
      <c r="A393" s="402" t="s">
        <v>1970</v>
      </c>
      <c r="B393" s="799">
        <v>305100700503500</v>
      </c>
      <c r="C393" s="320" t="s">
        <v>715</v>
      </c>
      <c r="D393" s="329"/>
      <c r="E393" s="335">
        <f t="shared" si="6"/>
        <v>191794.5</v>
      </c>
      <c r="F393" s="354">
        <v>191794.5</v>
      </c>
      <c r="G393" s="354"/>
      <c r="H393" s="335">
        <v>8300</v>
      </c>
      <c r="I393" s="217"/>
    </row>
    <row r="394" spans="1:9">
      <c r="A394" s="402" t="s">
        <v>1970</v>
      </c>
      <c r="B394" s="799">
        <v>305100700504000</v>
      </c>
      <c r="C394" s="320" t="s">
        <v>716</v>
      </c>
      <c r="D394" s="329"/>
      <c r="E394" s="335">
        <f t="shared" si="6"/>
        <v>16969.7</v>
      </c>
      <c r="F394" s="354">
        <v>16969.7</v>
      </c>
      <c r="G394" s="354"/>
      <c r="H394" s="335">
        <v>58300.06</v>
      </c>
      <c r="I394" s="217"/>
    </row>
    <row r="395" spans="1:9">
      <c r="A395" s="402" t="s">
        <v>1970</v>
      </c>
      <c r="B395" s="799">
        <v>305100700504500</v>
      </c>
      <c r="C395" s="320" t="s">
        <v>717</v>
      </c>
      <c r="D395" s="329"/>
      <c r="E395" s="335">
        <f t="shared" si="6"/>
        <v>0</v>
      </c>
      <c r="F395" s="354"/>
      <c r="G395" s="354"/>
      <c r="H395" s="335">
        <v>63411.34</v>
      </c>
      <c r="I395" s="217"/>
    </row>
    <row r="396" spans="1:9">
      <c r="A396" s="402" t="s">
        <v>1970</v>
      </c>
      <c r="B396" s="799">
        <v>305100700509000</v>
      </c>
      <c r="C396" s="320" t="s">
        <v>707</v>
      </c>
      <c r="D396" s="329"/>
      <c r="E396" s="335">
        <f t="shared" si="6"/>
        <v>89304</v>
      </c>
      <c r="F396" s="354">
        <v>89304</v>
      </c>
      <c r="G396" s="354"/>
      <c r="H396" s="335">
        <v>0</v>
      </c>
      <c r="I396" s="217"/>
    </row>
    <row r="397" spans="1:9" ht="25.5">
      <c r="A397" s="401" t="s">
        <v>1969</v>
      </c>
      <c r="B397" s="800" t="s">
        <v>718</v>
      </c>
      <c r="C397" s="317" t="s">
        <v>2230</v>
      </c>
      <c r="D397" s="328" t="s">
        <v>1248</v>
      </c>
      <c r="E397" s="359"/>
      <c r="F397" s="359"/>
      <c r="G397" s="359"/>
      <c r="H397" s="359">
        <v>0</v>
      </c>
    </row>
    <row r="398" spans="1:9">
      <c r="A398" s="402" t="s">
        <v>1970</v>
      </c>
      <c r="B398" s="799">
        <v>305100700601000</v>
      </c>
      <c r="C398" s="320" t="s">
        <v>719</v>
      </c>
      <c r="D398" s="329" t="s">
        <v>1248</v>
      </c>
      <c r="E398" s="335">
        <f t="shared" si="6"/>
        <v>4965244.9400000004</v>
      </c>
      <c r="F398" s="354">
        <v>4965244.9400000004</v>
      </c>
      <c r="G398" s="354"/>
      <c r="H398" s="335">
        <v>553392.54</v>
      </c>
      <c r="I398" s="217"/>
    </row>
    <row r="399" spans="1:9" ht="24">
      <c r="A399" s="402" t="s">
        <v>1970</v>
      </c>
      <c r="B399" s="799">
        <v>305100700609000</v>
      </c>
      <c r="C399" s="320" t="s">
        <v>720</v>
      </c>
      <c r="D399" s="329" t="s">
        <v>1248</v>
      </c>
      <c r="E399" s="335">
        <f t="shared" si="6"/>
        <v>7713326.4000000004</v>
      </c>
      <c r="F399" s="354">
        <v>7713326.4000000004</v>
      </c>
      <c r="G399" s="354"/>
      <c r="H399" s="335">
        <v>2121956</v>
      </c>
      <c r="I399" s="217"/>
    </row>
    <row r="400" spans="1:9">
      <c r="A400" s="401" t="s">
        <v>1969</v>
      </c>
      <c r="B400" s="800" t="s">
        <v>722</v>
      </c>
      <c r="C400" s="317" t="s">
        <v>1521</v>
      </c>
      <c r="D400" s="328" t="s">
        <v>1248</v>
      </c>
      <c r="E400" s="359"/>
      <c r="F400" s="359"/>
      <c r="G400" s="359"/>
      <c r="H400" s="359">
        <v>0</v>
      </c>
    </row>
    <row r="401" spans="1:9">
      <c r="A401" s="402" t="s">
        <v>1970</v>
      </c>
      <c r="B401" s="799">
        <v>305100700700000</v>
      </c>
      <c r="C401" s="320" t="s">
        <v>721</v>
      </c>
      <c r="D401" s="329" t="s">
        <v>1248</v>
      </c>
      <c r="E401" s="335">
        <f t="shared" si="6"/>
        <v>0</v>
      </c>
      <c r="F401" s="354"/>
      <c r="G401" s="354"/>
      <c r="H401" s="335">
        <v>0</v>
      </c>
      <c r="I401" s="217"/>
    </row>
    <row r="402" spans="1:9" ht="25.5">
      <c r="A402" s="401" t="s">
        <v>1967</v>
      </c>
      <c r="B402" s="800" t="s">
        <v>723</v>
      </c>
      <c r="C402" s="317" t="s">
        <v>2231</v>
      </c>
      <c r="D402" s="328"/>
      <c r="E402" s="359"/>
      <c r="F402" s="359"/>
      <c r="G402" s="359"/>
      <c r="H402" s="359">
        <v>0</v>
      </c>
    </row>
    <row r="403" spans="1:9" ht="25.5">
      <c r="A403" s="401" t="s">
        <v>1969</v>
      </c>
      <c r="B403" s="800" t="s">
        <v>725</v>
      </c>
      <c r="C403" s="317" t="s">
        <v>2232</v>
      </c>
      <c r="D403" s="328" t="s">
        <v>1248</v>
      </c>
      <c r="E403" s="359"/>
      <c r="F403" s="359"/>
      <c r="G403" s="359"/>
      <c r="H403" s="359">
        <v>0</v>
      </c>
    </row>
    <row r="404" spans="1:9" ht="24">
      <c r="A404" s="402" t="s">
        <v>1970</v>
      </c>
      <c r="B404" s="799">
        <v>305100750100000</v>
      </c>
      <c r="C404" s="320" t="s">
        <v>724</v>
      </c>
      <c r="D404" s="329" t="s">
        <v>1248</v>
      </c>
      <c r="E404" s="335">
        <f t="shared" si="6"/>
        <v>13763.97</v>
      </c>
      <c r="F404" s="354">
        <v>13763.97</v>
      </c>
      <c r="G404" s="354"/>
      <c r="H404" s="335">
        <v>49195.58</v>
      </c>
      <c r="I404" s="217"/>
    </row>
    <row r="405" spans="1:9" ht="25.5">
      <c r="A405" s="401" t="s">
        <v>1969</v>
      </c>
      <c r="B405" s="800" t="s">
        <v>727</v>
      </c>
      <c r="C405" s="317" t="s">
        <v>2233</v>
      </c>
      <c r="D405" s="328"/>
      <c r="E405" s="359"/>
      <c r="F405" s="359"/>
      <c r="G405" s="359"/>
      <c r="H405" s="359">
        <v>0</v>
      </c>
    </row>
    <row r="406" spans="1:9" ht="24">
      <c r="A406" s="402" t="s">
        <v>1970</v>
      </c>
      <c r="B406" s="799">
        <v>305100750200000</v>
      </c>
      <c r="C406" s="320" t="s">
        <v>726</v>
      </c>
      <c r="D406" s="329"/>
      <c r="E406" s="335">
        <f t="shared" si="6"/>
        <v>250857.16</v>
      </c>
      <c r="F406" s="354">
        <v>250857.16</v>
      </c>
      <c r="G406" s="354"/>
      <c r="H406" s="335">
        <v>0</v>
      </c>
      <c r="I406" s="217"/>
    </row>
    <row r="407" spans="1:9" ht="25.5">
      <c r="A407" s="401" t="s">
        <v>1969</v>
      </c>
      <c r="B407" s="800" t="s">
        <v>728</v>
      </c>
      <c r="C407" s="317" t="s">
        <v>2234</v>
      </c>
      <c r="D407" s="328"/>
      <c r="E407" s="359"/>
      <c r="F407" s="359"/>
      <c r="G407" s="359"/>
      <c r="H407" s="359">
        <v>0</v>
      </c>
    </row>
    <row r="408" spans="1:9" ht="25.5">
      <c r="A408" s="401" t="s">
        <v>1970</v>
      </c>
      <c r="B408" s="800" t="s">
        <v>730</v>
      </c>
      <c r="C408" s="317" t="s">
        <v>1526</v>
      </c>
      <c r="D408" s="328"/>
      <c r="E408" s="359"/>
      <c r="F408" s="359"/>
      <c r="G408" s="359"/>
      <c r="H408" s="359">
        <v>0</v>
      </c>
    </row>
    <row r="409" spans="1:9" ht="24">
      <c r="A409" s="402" t="s">
        <v>2017</v>
      </c>
      <c r="B409" s="799">
        <v>305100750301000</v>
      </c>
      <c r="C409" s="320" t="s">
        <v>729</v>
      </c>
      <c r="D409" s="329"/>
      <c r="E409" s="335">
        <f t="shared" si="6"/>
        <v>0</v>
      </c>
      <c r="F409" s="354"/>
      <c r="G409" s="354"/>
      <c r="H409" s="335">
        <v>0</v>
      </c>
      <c r="I409" s="217"/>
    </row>
    <row r="410" spans="1:9" ht="25.5">
      <c r="A410" s="401" t="s">
        <v>1970</v>
      </c>
      <c r="B410" s="800" t="s">
        <v>731</v>
      </c>
      <c r="C410" s="317" t="s">
        <v>1527</v>
      </c>
      <c r="D410" s="328"/>
      <c r="E410" s="359"/>
      <c r="F410" s="359"/>
      <c r="G410" s="359"/>
      <c r="H410" s="359">
        <v>0</v>
      </c>
    </row>
    <row r="411" spans="1:9" ht="24">
      <c r="A411" s="402" t="s">
        <v>2017</v>
      </c>
      <c r="B411" s="799">
        <v>305100750302005</v>
      </c>
      <c r="C411" s="320" t="s">
        <v>732</v>
      </c>
      <c r="D411" s="329"/>
      <c r="E411" s="335">
        <f t="shared" si="6"/>
        <v>171510</v>
      </c>
      <c r="F411" s="354">
        <v>171510</v>
      </c>
      <c r="G411" s="354"/>
      <c r="H411" s="335">
        <v>170832.5</v>
      </c>
      <c r="I411" s="217"/>
    </row>
    <row r="412" spans="1:9">
      <c r="A412" s="402">
        <v>8</v>
      </c>
      <c r="B412" s="799">
        <v>305100750302010</v>
      </c>
      <c r="C412" s="320" t="s">
        <v>733</v>
      </c>
      <c r="D412" s="329"/>
      <c r="E412" s="335">
        <f t="shared" si="6"/>
        <v>0</v>
      </c>
      <c r="F412" s="354"/>
      <c r="G412" s="354"/>
      <c r="H412" s="335">
        <v>0</v>
      </c>
      <c r="I412" s="217"/>
    </row>
    <row r="413" spans="1:9" ht="24">
      <c r="A413" s="402">
        <v>8</v>
      </c>
      <c r="B413" s="799">
        <v>305100750302015</v>
      </c>
      <c r="C413" s="320" t="s">
        <v>734</v>
      </c>
      <c r="D413" s="329"/>
      <c r="E413" s="335">
        <f t="shared" si="6"/>
        <v>0</v>
      </c>
      <c r="F413" s="354"/>
      <c r="G413" s="354"/>
      <c r="H413" s="335">
        <v>0</v>
      </c>
      <c r="I413" s="217"/>
    </row>
    <row r="414" spans="1:9" ht="25.5">
      <c r="A414" s="401">
        <v>7</v>
      </c>
      <c r="B414" s="800" t="s">
        <v>735</v>
      </c>
      <c r="C414" s="317" t="s">
        <v>2235</v>
      </c>
      <c r="D414" s="328"/>
      <c r="E414" s="359"/>
      <c r="F414" s="359"/>
      <c r="G414" s="359"/>
      <c r="H414" s="359">
        <v>0</v>
      </c>
    </row>
    <row r="415" spans="1:9" ht="24">
      <c r="A415" s="402">
        <v>8</v>
      </c>
      <c r="B415" s="799">
        <v>305100750303005</v>
      </c>
      <c r="C415" s="320" t="s">
        <v>736</v>
      </c>
      <c r="D415" s="329"/>
      <c r="E415" s="335">
        <f t="shared" si="6"/>
        <v>0</v>
      </c>
      <c r="F415" s="354"/>
      <c r="G415" s="354"/>
      <c r="H415" s="335">
        <v>0</v>
      </c>
      <c r="I415" s="217"/>
    </row>
    <row r="416" spans="1:9">
      <c r="A416" s="402">
        <v>8</v>
      </c>
      <c r="B416" s="799">
        <v>305100750303010</v>
      </c>
      <c r="C416" s="320" t="s">
        <v>737</v>
      </c>
      <c r="D416" s="329"/>
      <c r="E416" s="335">
        <f t="shared" si="6"/>
        <v>0</v>
      </c>
      <c r="F416" s="354"/>
      <c r="G416" s="354"/>
      <c r="H416" s="335">
        <v>0</v>
      </c>
      <c r="I416" s="217"/>
    </row>
    <row r="417" spans="1:9">
      <c r="A417" s="402">
        <v>8</v>
      </c>
      <c r="B417" s="799">
        <v>305100750303015</v>
      </c>
      <c r="C417" s="320" t="s">
        <v>738</v>
      </c>
      <c r="D417" s="329"/>
      <c r="E417" s="335">
        <f t="shared" si="6"/>
        <v>0</v>
      </c>
      <c r="F417" s="354"/>
      <c r="G417" s="354"/>
      <c r="H417" s="335">
        <v>0</v>
      </c>
      <c r="I417" s="217"/>
    </row>
    <row r="418" spans="1:9">
      <c r="A418" s="402">
        <v>8</v>
      </c>
      <c r="B418" s="799">
        <v>305100750303020</v>
      </c>
      <c r="C418" s="320" t="s">
        <v>739</v>
      </c>
      <c r="D418" s="329"/>
      <c r="E418" s="335">
        <f t="shared" si="6"/>
        <v>0</v>
      </c>
      <c r="F418" s="354"/>
      <c r="G418" s="354"/>
      <c r="H418" s="335">
        <v>0</v>
      </c>
      <c r="I418" s="217"/>
    </row>
    <row r="419" spans="1:9" ht="25.5">
      <c r="A419" s="401" t="s">
        <v>1970</v>
      </c>
      <c r="B419" s="800" t="s">
        <v>740</v>
      </c>
      <c r="C419" s="317" t="s">
        <v>2236</v>
      </c>
      <c r="D419" s="328"/>
      <c r="E419" s="359"/>
      <c r="F419" s="359"/>
      <c r="G419" s="359"/>
      <c r="H419" s="359">
        <v>0</v>
      </c>
    </row>
    <row r="420" spans="1:9">
      <c r="A420" s="402">
        <v>8</v>
      </c>
      <c r="B420" s="799">
        <v>305100750304005</v>
      </c>
      <c r="C420" s="320" t="s">
        <v>2237</v>
      </c>
      <c r="D420" s="329"/>
      <c r="E420" s="335">
        <f t="shared" si="6"/>
        <v>0</v>
      </c>
      <c r="F420" s="354"/>
      <c r="G420" s="354"/>
      <c r="H420" s="335">
        <v>0</v>
      </c>
      <c r="I420" s="217"/>
    </row>
    <row r="421" spans="1:9">
      <c r="A421" s="402">
        <v>8</v>
      </c>
      <c r="B421" s="799">
        <v>305100750304010</v>
      </c>
      <c r="C421" s="320" t="s">
        <v>1953</v>
      </c>
      <c r="D421" s="329"/>
      <c r="E421" s="335">
        <f t="shared" si="6"/>
        <v>0</v>
      </c>
      <c r="F421" s="354"/>
      <c r="G421" s="354"/>
      <c r="H421" s="335">
        <v>0</v>
      </c>
      <c r="I421" s="217"/>
    </row>
    <row r="422" spans="1:9">
      <c r="A422" s="402">
        <v>8</v>
      </c>
      <c r="B422" s="799">
        <v>305100750304015</v>
      </c>
      <c r="C422" s="320" t="s">
        <v>2238</v>
      </c>
      <c r="D422" s="329"/>
      <c r="E422" s="335">
        <f t="shared" si="6"/>
        <v>0</v>
      </c>
      <c r="F422" s="354"/>
      <c r="G422" s="354"/>
      <c r="H422" s="335">
        <v>0</v>
      </c>
      <c r="I422" s="217"/>
    </row>
    <row r="423" spans="1:9" ht="12.75" customHeight="1">
      <c r="A423" s="402">
        <v>8</v>
      </c>
      <c r="B423" s="799">
        <v>305100750304020</v>
      </c>
      <c r="C423" s="320" t="s">
        <v>2239</v>
      </c>
      <c r="D423" s="329"/>
      <c r="E423" s="335">
        <f t="shared" si="6"/>
        <v>0</v>
      </c>
      <c r="F423" s="354"/>
      <c r="G423" s="354"/>
      <c r="H423" s="335">
        <v>0</v>
      </c>
      <c r="I423" s="217"/>
    </row>
    <row r="424" spans="1:9">
      <c r="A424" s="402">
        <v>8</v>
      </c>
      <c r="B424" s="799">
        <v>305100750304025</v>
      </c>
      <c r="C424" s="320" t="s">
        <v>2240</v>
      </c>
      <c r="D424" s="329"/>
      <c r="E424" s="335">
        <f t="shared" si="6"/>
        <v>0</v>
      </c>
      <c r="F424" s="354"/>
      <c r="G424" s="354"/>
      <c r="H424" s="335">
        <v>0</v>
      </c>
      <c r="I424" s="217"/>
    </row>
    <row r="425" spans="1:9">
      <c r="A425" s="402">
        <v>8</v>
      </c>
      <c r="B425" s="799">
        <v>305100750304030</v>
      </c>
      <c r="C425" s="320" t="s">
        <v>2241</v>
      </c>
      <c r="D425" s="329"/>
      <c r="E425" s="335">
        <f t="shared" si="6"/>
        <v>0</v>
      </c>
      <c r="F425" s="354"/>
      <c r="G425" s="354"/>
      <c r="H425" s="335">
        <v>0</v>
      </c>
      <c r="I425" s="217"/>
    </row>
    <row r="426" spans="1:9">
      <c r="A426" s="401" t="s">
        <v>1970</v>
      </c>
      <c r="B426" s="800" t="s">
        <v>741</v>
      </c>
      <c r="C426" s="317" t="s">
        <v>2242</v>
      </c>
      <c r="D426" s="328"/>
      <c r="E426" s="359"/>
      <c r="F426" s="359"/>
      <c r="G426" s="359"/>
      <c r="H426" s="359">
        <v>0</v>
      </c>
    </row>
    <row r="427" spans="1:9">
      <c r="A427" s="402" t="s">
        <v>2017</v>
      </c>
      <c r="B427" s="799">
        <v>305100750305000</v>
      </c>
      <c r="C427" s="320" t="s">
        <v>2243</v>
      </c>
      <c r="D427" s="329"/>
      <c r="E427" s="335">
        <f t="shared" si="6"/>
        <v>0</v>
      </c>
      <c r="F427" s="354"/>
      <c r="G427" s="354"/>
      <c r="H427" s="335">
        <v>0</v>
      </c>
      <c r="I427" s="217"/>
    </row>
    <row r="428" spans="1:9" ht="25.5">
      <c r="A428" s="401" t="s">
        <v>1970</v>
      </c>
      <c r="B428" s="800" t="s">
        <v>742</v>
      </c>
      <c r="C428" s="317" t="s">
        <v>2244</v>
      </c>
      <c r="D428" s="328"/>
      <c r="E428" s="359"/>
      <c r="F428" s="359"/>
      <c r="G428" s="359"/>
      <c r="H428" s="359">
        <v>0</v>
      </c>
    </row>
    <row r="429" spans="1:9">
      <c r="A429" s="402">
        <v>8</v>
      </c>
      <c r="B429" s="799">
        <v>305100750306005</v>
      </c>
      <c r="C429" s="320" t="s">
        <v>743</v>
      </c>
      <c r="D429" s="329"/>
      <c r="E429" s="335">
        <f t="shared" si="6"/>
        <v>1354714.39</v>
      </c>
      <c r="F429" s="354">
        <v>1354714.39</v>
      </c>
      <c r="G429" s="354"/>
      <c r="H429" s="335">
        <v>1494939.6</v>
      </c>
      <c r="I429" s="217"/>
    </row>
    <row r="430" spans="1:9">
      <c r="A430" s="402">
        <v>8</v>
      </c>
      <c r="B430" s="799">
        <v>305100750306010</v>
      </c>
      <c r="C430" s="320" t="s">
        <v>744</v>
      </c>
      <c r="D430" s="329"/>
      <c r="E430" s="335">
        <f t="shared" si="6"/>
        <v>0</v>
      </c>
      <c r="F430" s="354"/>
      <c r="G430" s="354"/>
      <c r="H430" s="335">
        <v>0</v>
      </c>
      <c r="I430" s="217"/>
    </row>
    <row r="431" spans="1:9">
      <c r="A431" s="402">
        <v>8</v>
      </c>
      <c r="B431" s="799">
        <v>305100750306015</v>
      </c>
      <c r="C431" s="320" t="s">
        <v>745</v>
      </c>
      <c r="D431" s="329"/>
      <c r="E431" s="335">
        <f t="shared" si="6"/>
        <v>0</v>
      </c>
      <c r="F431" s="354"/>
      <c r="G431" s="354"/>
      <c r="H431" s="335">
        <v>0</v>
      </c>
      <c r="I431" s="217"/>
    </row>
    <row r="432" spans="1:9">
      <c r="A432" s="402">
        <v>8</v>
      </c>
      <c r="B432" s="799">
        <v>305100750306020</v>
      </c>
      <c r="C432" s="320" t="s">
        <v>746</v>
      </c>
      <c r="D432" s="329"/>
      <c r="E432" s="335">
        <f t="shared" si="6"/>
        <v>0</v>
      </c>
      <c r="F432" s="354"/>
      <c r="G432" s="354"/>
      <c r="H432" s="335">
        <v>0</v>
      </c>
      <c r="I432" s="217"/>
    </row>
    <row r="433" spans="1:9">
      <c r="A433" s="402">
        <v>8</v>
      </c>
      <c r="B433" s="799">
        <v>305100750306025</v>
      </c>
      <c r="C433" s="320" t="s">
        <v>747</v>
      </c>
      <c r="D433" s="329"/>
      <c r="E433" s="335">
        <f t="shared" si="6"/>
        <v>82720.56</v>
      </c>
      <c r="F433" s="354">
        <v>82720.56</v>
      </c>
      <c r="G433" s="354"/>
      <c r="H433" s="335">
        <v>118157.46</v>
      </c>
      <c r="I433" s="217"/>
    </row>
    <row r="434" spans="1:9">
      <c r="A434" s="402">
        <v>8</v>
      </c>
      <c r="B434" s="799">
        <v>305100750306030</v>
      </c>
      <c r="C434" s="320" t="s">
        <v>748</v>
      </c>
      <c r="D434" s="329"/>
      <c r="E434" s="335">
        <f t="shared" si="6"/>
        <v>90439.17</v>
      </c>
      <c r="F434" s="354">
        <v>90439.17</v>
      </c>
      <c r="G434" s="354"/>
      <c r="H434" s="335">
        <v>85926.79</v>
      </c>
      <c r="I434" s="217"/>
    </row>
    <row r="435" spans="1:9">
      <c r="A435" s="402">
        <v>8</v>
      </c>
      <c r="B435" s="799">
        <v>305100750306035</v>
      </c>
      <c r="C435" s="320" t="s">
        <v>749</v>
      </c>
      <c r="D435" s="329"/>
      <c r="E435" s="335">
        <f t="shared" si="6"/>
        <v>0</v>
      </c>
      <c r="F435" s="354"/>
      <c r="G435" s="354"/>
      <c r="H435" s="335">
        <v>0</v>
      </c>
      <c r="I435" s="217"/>
    </row>
    <row r="436" spans="1:9">
      <c r="A436" s="402">
        <v>8</v>
      </c>
      <c r="B436" s="799">
        <v>305100750306040</v>
      </c>
      <c r="C436" s="320" t="s">
        <v>750</v>
      </c>
      <c r="D436" s="329"/>
      <c r="E436" s="335">
        <f t="shared" si="6"/>
        <v>15374.12</v>
      </c>
      <c r="F436" s="354">
        <v>15374.12</v>
      </c>
      <c r="G436" s="354"/>
      <c r="H436" s="335">
        <v>15760.45</v>
      </c>
      <c r="I436" s="217"/>
    </row>
    <row r="437" spans="1:9" ht="24">
      <c r="A437" s="402">
        <v>8</v>
      </c>
      <c r="B437" s="799">
        <v>305100750306090</v>
      </c>
      <c r="C437" s="320" t="s">
        <v>2245</v>
      </c>
      <c r="D437" s="329"/>
      <c r="E437" s="335">
        <f t="shared" si="6"/>
        <v>368</v>
      </c>
      <c r="F437" s="354">
        <v>368</v>
      </c>
      <c r="G437" s="354"/>
      <c r="H437" s="335">
        <v>0</v>
      </c>
      <c r="I437" s="217"/>
    </row>
    <row r="438" spans="1:9" ht="25.5">
      <c r="A438" s="401" t="s">
        <v>1969</v>
      </c>
      <c r="B438" s="800" t="s">
        <v>751</v>
      </c>
      <c r="C438" s="317" t="s">
        <v>1532</v>
      </c>
      <c r="D438" s="328"/>
      <c r="E438" s="359"/>
      <c r="F438" s="359"/>
      <c r="G438" s="359"/>
      <c r="H438" s="359">
        <v>0</v>
      </c>
    </row>
    <row r="439" spans="1:9" ht="25.5">
      <c r="A439" s="401" t="s">
        <v>1970</v>
      </c>
      <c r="B439" s="800" t="s">
        <v>753</v>
      </c>
      <c r="C439" s="317" t="s">
        <v>1533</v>
      </c>
      <c r="D439" s="328" t="s">
        <v>1248</v>
      </c>
      <c r="E439" s="359"/>
      <c r="F439" s="359"/>
      <c r="G439" s="359"/>
      <c r="H439" s="359">
        <v>0</v>
      </c>
    </row>
    <row r="440" spans="1:9" ht="24">
      <c r="A440" s="402" t="s">
        <v>2017</v>
      </c>
      <c r="B440" s="799">
        <v>305100750401000</v>
      </c>
      <c r="C440" s="320" t="s">
        <v>752</v>
      </c>
      <c r="D440" s="329" t="s">
        <v>1248</v>
      </c>
      <c r="E440" s="335">
        <f t="shared" si="6"/>
        <v>55802.51</v>
      </c>
      <c r="F440" s="354">
        <v>55802.51</v>
      </c>
      <c r="G440" s="354"/>
      <c r="H440" s="335">
        <v>131952.81</v>
      </c>
      <c r="I440" s="217"/>
    </row>
    <row r="441" spans="1:9" ht="25.5">
      <c r="A441" s="401" t="s">
        <v>1970</v>
      </c>
      <c r="B441" s="800" t="s">
        <v>755</v>
      </c>
      <c r="C441" s="317" t="s">
        <v>1534</v>
      </c>
      <c r="D441" s="328"/>
      <c r="E441" s="359"/>
      <c r="F441" s="359"/>
      <c r="G441" s="359"/>
      <c r="H441" s="359">
        <v>0</v>
      </c>
    </row>
    <row r="442" spans="1:9" ht="24">
      <c r="A442" s="402" t="s">
        <v>2017</v>
      </c>
      <c r="B442" s="799">
        <v>305100750402000</v>
      </c>
      <c r="C442" s="320" t="s">
        <v>754</v>
      </c>
      <c r="D442" s="329"/>
      <c r="E442" s="335">
        <f t="shared" si="6"/>
        <v>0</v>
      </c>
      <c r="F442" s="354"/>
      <c r="G442" s="354"/>
      <c r="H442" s="335">
        <v>0</v>
      </c>
      <c r="I442" s="217"/>
    </row>
    <row r="443" spans="1:9" ht="25.5">
      <c r="A443" s="401" t="s">
        <v>1970</v>
      </c>
      <c r="B443" s="800" t="s">
        <v>757</v>
      </c>
      <c r="C443" s="317" t="s">
        <v>1535</v>
      </c>
      <c r="D443" s="328"/>
      <c r="E443" s="359"/>
      <c r="F443" s="359"/>
      <c r="G443" s="359"/>
      <c r="H443" s="359">
        <v>0</v>
      </c>
    </row>
    <row r="444" spans="1:9" ht="24">
      <c r="A444" s="402" t="s">
        <v>2017</v>
      </c>
      <c r="B444" s="799">
        <v>305100750403000</v>
      </c>
      <c r="C444" s="320" t="s">
        <v>756</v>
      </c>
      <c r="D444" s="329"/>
      <c r="E444" s="335">
        <f t="shared" si="6"/>
        <v>0</v>
      </c>
      <c r="F444" s="354"/>
      <c r="G444" s="354"/>
      <c r="H444" s="335">
        <v>0</v>
      </c>
      <c r="I444" s="217"/>
    </row>
    <row r="445" spans="1:9" ht="25.5">
      <c r="A445" s="401" t="s">
        <v>1967</v>
      </c>
      <c r="B445" s="800" t="s">
        <v>758</v>
      </c>
      <c r="C445" s="317" t="s">
        <v>1536</v>
      </c>
      <c r="D445" s="328"/>
      <c r="E445" s="359"/>
      <c r="F445" s="359"/>
      <c r="G445" s="359"/>
      <c r="H445" s="359">
        <v>0</v>
      </c>
    </row>
    <row r="446" spans="1:9" ht="38.25">
      <c r="A446" s="401" t="s">
        <v>1969</v>
      </c>
      <c r="B446" s="800" t="s">
        <v>760</v>
      </c>
      <c r="C446" s="317" t="s">
        <v>2246</v>
      </c>
      <c r="D446" s="328" t="s">
        <v>1248</v>
      </c>
      <c r="E446" s="359"/>
      <c r="F446" s="359"/>
      <c r="G446" s="359"/>
      <c r="H446" s="359">
        <v>0</v>
      </c>
    </row>
    <row r="447" spans="1:9" ht="24">
      <c r="A447" s="402" t="s">
        <v>1970</v>
      </c>
      <c r="B447" s="799">
        <v>305100800100000</v>
      </c>
      <c r="C447" s="320" t="s">
        <v>759</v>
      </c>
      <c r="D447" s="329" t="s">
        <v>1248</v>
      </c>
      <c r="E447" s="335">
        <f t="shared" si="6"/>
        <v>0</v>
      </c>
      <c r="F447" s="354"/>
      <c r="G447" s="354"/>
      <c r="H447" s="335">
        <v>0</v>
      </c>
      <c r="I447" s="217"/>
    </row>
    <row r="448" spans="1:9" ht="25.5">
      <c r="A448" s="401" t="s">
        <v>1969</v>
      </c>
      <c r="B448" s="800" t="s">
        <v>762</v>
      </c>
      <c r="C448" s="317" t="s">
        <v>2247</v>
      </c>
      <c r="D448" s="328"/>
      <c r="E448" s="359"/>
      <c r="F448" s="359"/>
      <c r="G448" s="359"/>
      <c r="H448" s="359">
        <v>0</v>
      </c>
    </row>
    <row r="449" spans="1:9" ht="24">
      <c r="A449" s="402" t="s">
        <v>1970</v>
      </c>
      <c r="B449" s="799">
        <v>305100800200000</v>
      </c>
      <c r="C449" s="320" t="s">
        <v>761</v>
      </c>
      <c r="D449" s="329"/>
      <c r="E449" s="335">
        <f t="shared" si="6"/>
        <v>0</v>
      </c>
      <c r="F449" s="354"/>
      <c r="G449" s="354"/>
      <c r="H449" s="335">
        <v>0</v>
      </c>
      <c r="I449" s="217"/>
    </row>
    <row r="450" spans="1:9" ht="25.5">
      <c r="A450" s="401" t="s">
        <v>1969</v>
      </c>
      <c r="B450" s="800" t="s">
        <v>764</v>
      </c>
      <c r="C450" s="317" t="s">
        <v>1539</v>
      </c>
      <c r="D450" s="328"/>
      <c r="E450" s="359"/>
      <c r="F450" s="359"/>
      <c r="G450" s="359"/>
      <c r="H450" s="359">
        <v>0</v>
      </c>
    </row>
    <row r="451" spans="1:9" ht="24">
      <c r="A451" s="402" t="s">
        <v>1970</v>
      </c>
      <c r="B451" s="799">
        <v>305100800300000</v>
      </c>
      <c r="C451" s="320" t="s">
        <v>763</v>
      </c>
      <c r="D451" s="329"/>
      <c r="E451" s="335">
        <f t="shared" si="6"/>
        <v>219220</v>
      </c>
      <c r="F451" s="354">
        <v>219220</v>
      </c>
      <c r="G451" s="354"/>
      <c r="H451" s="335">
        <v>0</v>
      </c>
      <c r="I451" s="217"/>
    </row>
    <row r="452" spans="1:9">
      <c r="A452" s="401" t="s">
        <v>1969</v>
      </c>
      <c r="B452" s="800" t="s">
        <v>766</v>
      </c>
      <c r="C452" s="317" t="s">
        <v>2248</v>
      </c>
      <c r="D452" s="328"/>
      <c r="E452" s="359"/>
      <c r="F452" s="359"/>
      <c r="G452" s="359"/>
      <c r="H452" s="359">
        <v>0</v>
      </c>
    </row>
    <row r="453" spans="1:9">
      <c r="A453" s="402">
        <v>7</v>
      </c>
      <c r="B453" s="799">
        <v>305100800401000</v>
      </c>
      <c r="C453" s="320" t="s">
        <v>767</v>
      </c>
      <c r="D453" s="329"/>
      <c r="E453" s="335">
        <f t="shared" si="6"/>
        <v>0</v>
      </c>
      <c r="F453" s="354"/>
      <c r="G453" s="354"/>
      <c r="H453" s="335">
        <v>0</v>
      </c>
      <c r="I453" s="217"/>
    </row>
    <row r="454" spans="1:9">
      <c r="A454" s="402">
        <v>7</v>
      </c>
      <c r="B454" s="799">
        <v>305100800402000</v>
      </c>
      <c r="C454" s="320" t="s">
        <v>603</v>
      </c>
      <c r="D454" s="329"/>
      <c r="E454" s="335">
        <f t="shared" ref="E454:E517" si="7">+F454+G454</f>
        <v>0</v>
      </c>
      <c r="F454" s="354"/>
      <c r="G454" s="354"/>
      <c r="H454" s="335">
        <v>0</v>
      </c>
      <c r="I454" s="217"/>
    </row>
    <row r="455" spans="1:9" s="223" customFormat="1">
      <c r="A455" s="402">
        <v>8</v>
      </c>
      <c r="B455" s="799">
        <v>305100800403000</v>
      </c>
      <c r="C455" s="320" t="s">
        <v>2597</v>
      </c>
      <c r="D455" s="329"/>
      <c r="E455" s="335">
        <f t="shared" si="7"/>
        <v>0</v>
      </c>
      <c r="F455" s="354"/>
      <c r="G455" s="354"/>
      <c r="H455" s="335">
        <v>0</v>
      </c>
      <c r="I455" s="217"/>
    </row>
    <row r="456" spans="1:9">
      <c r="A456" s="402">
        <v>7</v>
      </c>
      <c r="B456" s="799">
        <v>305100800409000</v>
      </c>
      <c r="C456" s="320" t="s">
        <v>765</v>
      </c>
      <c r="D456" s="329"/>
      <c r="E456" s="335">
        <f t="shared" si="7"/>
        <v>2641687.34</v>
      </c>
      <c r="F456" s="354">
        <v>2641687.34</v>
      </c>
      <c r="G456" s="354"/>
      <c r="H456" s="335">
        <v>2262641.04</v>
      </c>
      <c r="I456" s="217"/>
    </row>
    <row r="457" spans="1:9" ht="25.5">
      <c r="A457" s="401" t="s">
        <v>1969</v>
      </c>
      <c r="B457" s="800" t="s">
        <v>769</v>
      </c>
      <c r="C457" s="317" t="s">
        <v>2249</v>
      </c>
      <c r="D457" s="328"/>
      <c r="E457" s="359"/>
      <c r="F457" s="359"/>
      <c r="G457" s="359"/>
      <c r="H457" s="359">
        <v>0</v>
      </c>
    </row>
    <row r="458" spans="1:9">
      <c r="A458" s="402" t="s">
        <v>1970</v>
      </c>
      <c r="B458" s="799">
        <v>305100800500000</v>
      </c>
      <c r="C458" s="320" t="s">
        <v>768</v>
      </c>
      <c r="D458" s="329"/>
      <c r="E458" s="335">
        <f t="shared" si="7"/>
        <v>0</v>
      </c>
      <c r="F458" s="354"/>
      <c r="G458" s="354"/>
      <c r="H458" s="335">
        <v>0</v>
      </c>
      <c r="I458" s="217"/>
    </row>
    <row r="459" spans="1:9" ht="25.5">
      <c r="A459" s="401" t="s">
        <v>1969</v>
      </c>
      <c r="B459" s="800" t="s">
        <v>771</v>
      </c>
      <c r="C459" s="317" t="s">
        <v>1542</v>
      </c>
      <c r="D459" s="328" t="s">
        <v>1248</v>
      </c>
      <c r="E459" s="359"/>
      <c r="F459" s="359"/>
      <c r="G459" s="359"/>
      <c r="H459" s="359">
        <v>0</v>
      </c>
    </row>
    <row r="460" spans="1:9" ht="24">
      <c r="A460" s="402" t="s">
        <v>1970</v>
      </c>
      <c r="B460" s="799">
        <v>305100800600000</v>
      </c>
      <c r="C460" s="320" t="s">
        <v>770</v>
      </c>
      <c r="D460" s="329" t="s">
        <v>1248</v>
      </c>
      <c r="E460" s="335">
        <f t="shared" si="7"/>
        <v>0</v>
      </c>
      <c r="F460" s="354"/>
      <c r="G460" s="354"/>
      <c r="H460" s="335">
        <v>0</v>
      </c>
      <c r="I460" s="217"/>
    </row>
    <row r="461" spans="1:9" ht="25.5">
      <c r="A461" s="401" t="s">
        <v>1969</v>
      </c>
      <c r="B461" s="800" t="s">
        <v>773</v>
      </c>
      <c r="C461" s="317" t="s">
        <v>2250</v>
      </c>
      <c r="D461" s="328"/>
      <c r="E461" s="359"/>
      <c r="F461" s="359"/>
      <c r="G461" s="359"/>
      <c r="H461" s="359">
        <v>0</v>
      </c>
    </row>
    <row r="462" spans="1:9" ht="24">
      <c r="A462" s="402" t="s">
        <v>1970</v>
      </c>
      <c r="B462" s="799">
        <v>305100800700000</v>
      </c>
      <c r="C462" s="320" t="s">
        <v>772</v>
      </c>
      <c r="D462" s="329"/>
      <c r="E462" s="335">
        <f t="shared" si="7"/>
        <v>0</v>
      </c>
      <c r="F462" s="354"/>
      <c r="G462" s="354"/>
      <c r="H462" s="335">
        <v>0</v>
      </c>
      <c r="I462" s="217"/>
    </row>
    <row r="463" spans="1:9" ht="25.5">
      <c r="A463" s="401" t="s">
        <v>1967</v>
      </c>
      <c r="B463" s="800" t="s">
        <v>774</v>
      </c>
      <c r="C463" s="317" t="s">
        <v>1544</v>
      </c>
      <c r="D463" s="328"/>
      <c r="E463" s="359"/>
      <c r="F463" s="359"/>
      <c r="G463" s="359"/>
      <c r="H463" s="359">
        <v>0</v>
      </c>
    </row>
    <row r="464" spans="1:9">
      <c r="A464" s="402" t="s">
        <v>1969</v>
      </c>
      <c r="B464" s="799">
        <v>305100850000000</v>
      </c>
      <c r="C464" s="320" t="s">
        <v>775</v>
      </c>
      <c r="D464" s="329"/>
      <c r="E464" s="335">
        <f t="shared" si="7"/>
        <v>0</v>
      </c>
      <c r="F464" s="354"/>
      <c r="G464" s="354"/>
      <c r="H464" s="335">
        <v>0</v>
      </c>
      <c r="I464" s="217"/>
    </row>
    <row r="465" spans="1:9">
      <c r="A465" s="401" t="s">
        <v>1965</v>
      </c>
      <c r="B465" s="800" t="s">
        <v>776</v>
      </c>
      <c r="C465" s="317" t="s">
        <v>1545</v>
      </c>
      <c r="D465" s="328"/>
      <c r="E465" s="359"/>
      <c r="F465" s="359"/>
      <c r="G465" s="359"/>
      <c r="H465" s="359">
        <v>0</v>
      </c>
    </row>
    <row r="466" spans="1:9">
      <c r="A466" s="401" t="s">
        <v>1967</v>
      </c>
      <c r="B466" s="800" t="s">
        <v>777</v>
      </c>
      <c r="C466" s="317" t="s">
        <v>2251</v>
      </c>
      <c r="D466" s="328"/>
      <c r="E466" s="359"/>
      <c r="F466" s="359"/>
      <c r="G466" s="359"/>
      <c r="H466" s="359">
        <v>0</v>
      </c>
    </row>
    <row r="467" spans="1:9">
      <c r="A467" s="401" t="s">
        <v>1969</v>
      </c>
      <c r="B467" s="800" t="s">
        <v>779</v>
      </c>
      <c r="C467" s="317" t="s">
        <v>2252</v>
      </c>
      <c r="D467" s="328"/>
      <c r="E467" s="359"/>
      <c r="F467" s="359"/>
      <c r="G467" s="359"/>
      <c r="H467" s="359">
        <v>0</v>
      </c>
    </row>
    <row r="468" spans="1:9">
      <c r="A468" s="402" t="s">
        <v>1970</v>
      </c>
      <c r="B468" s="799">
        <v>305200100500000</v>
      </c>
      <c r="C468" s="320" t="s">
        <v>778</v>
      </c>
      <c r="D468" s="329"/>
      <c r="E468" s="335">
        <f t="shared" si="7"/>
        <v>8719.92</v>
      </c>
      <c r="F468" s="354">
        <v>8719.92</v>
      </c>
      <c r="G468" s="354"/>
      <c r="H468" s="335">
        <v>6522.12</v>
      </c>
      <c r="I468" s="217"/>
    </row>
    <row r="469" spans="1:9">
      <c r="A469" s="401" t="s">
        <v>1969</v>
      </c>
      <c r="B469" s="800" t="s">
        <v>781</v>
      </c>
      <c r="C469" s="317" t="s">
        <v>2253</v>
      </c>
      <c r="D469" s="328"/>
      <c r="E469" s="359"/>
      <c r="F469" s="359"/>
      <c r="G469" s="359"/>
      <c r="H469" s="359">
        <v>0</v>
      </c>
    </row>
    <row r="470" spans="1:9">
      <c r="A470" s="402" t="s">
        <v>1970</v>
      </c>
      <c r="B470" s="799">
        <v>305200100100000</v>
      </c>
      <c r="C470" s="320" t="s">
        <v>780</v>
      </c>
      <c r="D470" s="329"/>
      <c r="E470" s="335">
        <f t="shared" si="7"/>
        <v>54861.24</v>
      </c>
      <c r="F470" s="354">
        <v>54861.24</v>
      </c>
      <c r="G470" s="354"/>
      <c r="H470" s="335">
        <v>51417.599999999999</v>
      </c>
      <c r="I470" s="217"/>
    </row>
    <row r="471" spans="1:9">
      <c r="A471" s="401" t="s">
        <v>1969</v>
      </c>
      <c r="B471" s="800" t="s">
        <v>782</v>
      </c>
      <c r="C471" s="317" t="s">
        <v>2254</v>
      </c>
      <c r="D471" s="328"/>
      <c r="E471" s="359"/>
      <c r="F471" s="359"/>
      <c r="G471" s="359"/>
      <c r="H471" s="359">
        <v>0</v>
      </c>
    </row>
    <row r="472" spans="1:9">
      <c r="A472" s="401" t="s">
        <v>1970</v>
      </c>
      <c r="B472" s="800" t="s">
        <v>784</v>
      </c>
      <c r="C472" s="317" t="s">
        <v>1550</v>
      </c>
      <c r="D472" s="328"/>
      <c r="E472" s="359"/>
      <c r="F472" s="359"/>
      <c r="G472" s="359"/>
      <c r="H472" s="359">
        <v>0</v>
      </c>
    </row>
    <row r="473" spans="1:9">
      <c r="A473" s="402" t="s">
        <v>2017</v>
      </c>
      <c r="B473" s="799">
        <v>305200100151000</v>
      </c>
      <c r="C473" s="320" t="s">
        <v>783</v>
      </c>
      <c r="D473" s="329"/>
      <c r="E473" s="335">
        <f t="shared" si="7"/>
        <v>121762.21</v>
      </c>
      <c r="F473" s="354">
        <v>121762.21</v>
      </c>
      <c r="G473" s="354"/>
      <c r="H473" s="335">
        <v>116472</v>
      </c>
      <c r="I473" s="217"/>
    </row>
    <row r="474" spans="1:9">
      <c r="A474" s="401" t="s">
        <v>1970</v>
      </c>
      <c r="B474" s="800" t="s">
        <v>786</v>
      </c>
      <c r="C474" s="317" t="s">
        <v>1551</v>
      </c>
      <c r="D474" s="328"/>
      <c r="E474" s="359"/>
      <c r="F474" s="359"/>
      <c r="G474" s="359"/>
      <c r="H474" s="359">
        <v>0</v>
      </c>
    </row>
    <row r="475" spans="1:9">
      <c r="A475" s="402" t="s">
        <v>2017</v>
      </c>
      <c r="B475" s="799">
        <v>305200100152000</v>
      </c>
      <c r="C475" s="320" t="s">
        <v>785</v>
      </c>
      <c r="D475" s="329"/>
      <c r="E475" s="335">
        <f t="shared" si="7"/>
        <v>0</v>
      </c>
      <c r="F475" s="354"/>
      <c r="G475" s="354"/>
      <c r="H475" s="335">
        <v>0</v>
      </c>
      <c r="I475" s="217"/>
    </row>
    <row r="476" spans="1:9">
      <c r="A476" s="401" t="s">
        <v>1969</v>
      </c>
      <c r="B476" s="800" t="s">
        <v>788</v>
      </c>
      <c r="C476" s="317" t="s">
        <v>2255</v>
      </c>
      <c r="D476" s="328"/>
      <c r="E476" s="359"/>
      <c r="F476" s="359"/>
      <c r="G476" s="359"/>
      <c r="H476" s="359">
        <v>0</v>
      </c>
    </row>
    <row r="477" spans="1:9">
      <c r="A477" s="402" t="s">
        <v>1970</v>
      </c>
      <c r="B477" s="799">
        <v>305200100200000</v>
      </c>
      <c r="C477" s="320" t="s">
        <v>787</v>
      </c>
      <c r="D477" s="329"/>
      <c r="E477" s="335">
        <f t="shared" si="7"/>
        <v>0</v>
      </c>
      <c r="F477" s="354"/>
      <c r="G477" s="354"/>
      <c r="H477" s="335">
        <v>0</v>
      </c>
      <c r="I477" s="217"/>
    </row>
    <row r="478" spans="1:9">
      <c r="A478" s="401" t="s">
        <v>1969</v>
      </c>
      <c r="B478" s="800" t="s">
        <v>789</v>
      </c>
      <c r="C478" s="317" t="s">
        <v>2256</v>
      </c>
      <c r="D478" s="328"/>
      <c r="E478" s="359"/>
      <c r="F478" s="359"/>
      <c r="G478" s="359"/>
      <c r="H478" s="359">
        <v>0</v>
      </c>
    </row>
    <row r="479" spans="1:9">
      <c r="A479" s="402" t="s">
        <v>1970</v>
      </c>
      <c r="B479" s="799">
        <v>305200100251000</v>
      </c>
      <c r="C479" s="320" t="s">
        <v>790</v>
      </c>
      <c r="D479" s="329"/>
      <c r="E479" s="335">
        <f t="shared" si="7"/>
        <v>0</v>
      </c>
      <c r="F479" s="354"/>
      <c r="G479" s="354"/>
      <c r="H479" s="335">
        <v>0</v>
      </c>
      <c r="I479" s="217"/>
    </row>
    <row r="480" spans="1:9">
      <c r="A480" s="402" t="s">
        <v>1970</v>
      </c>
      <c r="B480" s="799">
        <v>305200100252000</v>
      </c>
      <c r="C480" s="320" t="s">
        <v>791</v>
      </c>
      <c r="D480" s="329"/>
      <c r="E480" s="335">
        <f t="shared" si="7"/>
        <v>0</v>
      </c>
      <c r="F480" s="354"/>
      <c r="G480" s="354"/>
      <c r="H480" s="335">
        <v>0</v>
      </c>
      <c r="I480" s="217"/>
    </row>
    <row r="481" spans="1:9">
      <c r="A481" s="402" t="s">
        <v>1970</v>
      </c>
      <c r="B481" s="799">
        <v>305200100259000</v>
      </c>
      <c r="C481" s="320" t="s">
        <v>792</v>
      </c>
      <c r="D481" s="329"/>
      <c r="E481" s="335">
        <f t="shared" si="7"/>
        <v>76323.039999999994</v>
      </c>
      <c r="F481" s="354">
        <v>76323.039999999994</v>
      </c>
      <c r="G481" s="354"/>
      <c r="H481" s="335">
        <v>61488</v>
      </c>
      <c r="I481" s="217"/>
    </row>
    <row r="482" spans="1:9">
      <c r="A482" s="401" t="s">
        <v>1969</v>
      </c>
      <c r="B482" s="800" t="s">
        <v>794</v>
      </c>
      <c r="C482" s="317" t="s">
        <v>2257</v>
      </c>
      <c r="D482" s="328"/>
      <c r="E482" s="359"/>
      <c r="F482" s="359"/>
      <c r="G482" s="359"/>
      <c r="H482" s="359">
        <v>0</v>
      </c>
    </row>
    <row r="483" spans="1:9">
      <c r="A483" s="402" t="s">
        <v>1970</v>
      </c>
      <c r="B483" s="799">
        <v>305200100300000</v>
      </c>
      <c r="C483" s="320" t="s">
        <v>793</v>
      </c>
      <c r="D483" s="329"/>
      <c r="E483" s="335">
        <f t="shared" si="7"/>
        <v>2281.0700000000002</v>
      </c>
      <c r="F483" s="354">
        <v>2281.0700000000002</v>
      </c>
      <c r="G483" s="354"/>
      <c r="H483" s="335">
        <v>1716.55</v>
      </c>
      <c r="I483" s="217"/>
    </row>
    <row r="484" spans="1:9">
      <c r="A484" s="401" t="s">
        <v>1969</v>
      </c>
      <c r="B484" s="800" t="s">
        <v>796</v>
      </c>
      <c r="C484" s="317" t="s">
        <v>2258</v>
      </c>
      <c r="D484" s="328"/>
      <c r="E484" s="359"/>
      <c r="F484" s="359"/>
      <c r="G484" s="359"/>
      <c r="H484" s="359">
        <v>0</v>
      </c>
    </row>
    <row r="485" spans="1:9">
      <c r="A485" s="402" t="s">
        <v>1970</v>
      </c>
      <c r="B485" s="799">
        <v>305200100350000</v>
      </c>
      <c r="C485" s="320" t="s">
        <v>795</v>
      </c>
      <c r="D485" s="329"/>
      <c r="E485" s="335">
        <f t="shared" si="7"/>
        <v>112382.26</v>
      </c>
      <c r="F485" s="354">
        <v>112382.26</v>
      </c>
      <c r="G485" s="354"/>
      <c r="H485" s="335">
        <v>95873.19</v>
      </c>
      <c r="I485" s="217"/>
    </row>
    <row r="486" spans="1:9">
      <c r="A486" s="401" t="s">
        <v>1969</v>
      </c>
      <c r="B486" s="800" t="s">
        <v>797</v>
      </c>
      <c r="C486" s="317" t="s">
        <v>2259</v>
      </c>
      <c r="D486" s="328"/>
      <c r="E486" s="359"/>
      <c r="F486" s="359"/>
      <c r="G486" s="359"/>
      <c r="H486" s="359">
        <v>0</v>
      </c>
    </row>
    <row r="487" spans="1:9">
      <c r="A487" s="402" t="s">
        <v>1970</v>
      </c>
      <c r="B487" s="799">
        <v>305200100401000</v>
      </c>
      <c r="C487" s="320" t="s">
        <v>798</v>
      </c>
      <c r="D487" s="329"/>
      <c r="E487" s="335">
        <f t="shared" si="7"/>
        <v>113109.8</v>
      </c>
      <c r="F487" s="354">
        <v>113109.8</v>
      </c>
      <c r="G487" s="354"/>
      <c r="H487" s="335">
        <v>104271.58</v>
      </c>
      <c r="I487" s="217"/>
    </row>
    <row r="488" spans="1:9">
      <c r="A488" s="402" t="s">
        <v>1970</v>
      </c>
      <c r="B488" s="799">
        <v>305200100402000</v>
      </c>
      <c r="C488" s="320" t="s">
        <v>799</v>
      </c>
      <c r="D488" s="329"/>
      <c r="E488" s="335">
        <f t="shared" si="7"/>
        <v>0</v>
      </c>
      <c r="F488" s="354"/>
      <c r="G488" s="354"/>
      <c r="H488" s="335">
        <v>0</v>
      </c>
      <c r="I488" s="217"/>
    </row>
    <row r="489" spans="1:9">
      <c r="A489" s="401" t="s">
        <v>1969</v>
      </c>
      <c r="B489" s="800" t="s">
        <v>801</v>
      </c>
      <c r="C489" s="317" t="s">
        <v>2260</v>
      </c>
      <c r="D489" s="328"/>
      <c r="E489" s="359"/>
      <c r="F489" s="359"/>
      <c r="G489" s="359"/>
      <c r="H489" s="359">
        <v>0</v>
      </c>
    </row>
    <row r="490" spans="1:9">
      <c r="A490" s="402" t="s">
        <v>1970</v>
      </c>
      <c r="B490" s="799">
        <v>305200100450000</v>
      </c>
      <c r="C490" s="320" t="s">
        <v>800</v>
      </c>
      <c r="D490" s="329"/>
      <c r="E490" s="335">
        <f t="shared" si="7"/>
        <v>18838.12</v>
      </c>
      <c r="F490" s="354">
        <v>18838.12</v>
      </c>
      <c r="G490" s="354"/>
      <c r="H490" s="335">
        <v>16881.68</v>
      </c>
      <c r="I490" s="217"/>
    </row>
    <row r="491" spans="1:9">
      <c r="A491" s="401" t="s">
        <v>1969</v>
      </c>
      <c r="B491" s="800" t="s">
        <v>803</v>
      </c>
      <c r="C491" s="317" t="s">
        <v>2261</v>
      </c>
      <c r="D491" s="328"/>
      <c r="E491" s="359"/>
      <c r="F491" s="359"/>
      <c r="G491" s="359"/>
      <c r="H491" s="359">
        <v>0</v>
      </c>
    </row>
    <row r="492" spans="1:9">
      <c r="A492" s="402" t="s">
        <v>1970</v>
      </c>
      <c r="B492" s="799">
        <v>305200100501000</v>
      </c>
      <c r="C492" s="320" t="s">
        <v>804</v>
      </c>
      <c r="D492" s="329"/>
      <c r="E492" s="335">
        <f t="shared" si="7"/>
        <v>0</v>
      </c>
      <c r="F492" s="354"/>
      <c r="G492" s="354"/>
      <c r="H492" s="335">
        <v>0</v>
      </c>
      <c r="I492" s="217"/>
    </row>
    <row r="493" spans="1:9">
      <c r="A493" s="402" t="s">
        <v>1970</v>
      </c>
      <c r="B493" s="799">
        <v>305200100502000</v>
      </c>
      <c r="C493" s="320" t="s">
        <v>805</v>
      </c>
      <c r="D493" s="329"/>
      <c r="E493" s="335">
        <f t="shared" si="7"/>
        <v>0</v>
      </c>
      <c r="F493" s="354"/>
      <c r="G493" s="354"/>
      <c r="H493" s="335">
        <v>0</v>
      </c>
      <c r="I493" s="217"/>
    </row>
    <row r="494" spans="1:9">
      <c r="A494" s="402" t="s">
        <v>1970</v>
      </c>
      <c r="B494" s="799">
        <v>305200100503000</v>
      </c>
      <c r="C494" s="320" t="s">
        <v>806</v>
      </c>
      <c r="D494" s="329"/>
      <c r="E494" s="335">
        <f t="shared" si="7"/>
        <v>232025.8</v>
      </c>
      <c r="F494" s="354">
        <v>232025.8</v>
      </c>
      <c r="G494" s="354"/>
      <c r="H494" s="335">
        <v>231698.02</v>
      </c>
      <c r="I494" s="217"/>
    </row>
    <row r="495" spans="1:9">
      <c r="A495" s="402" t="s">
        <v>1970</v>
      </c>
      <c r="B495" s="799">
        <v>305200100504000</v>
      </c>
      <c r="C495" s="320" t="s">
        <v>807</v>
      </c>
      <c r="D495" s="329"/>
      <c r="E495" s="335">
        <f t="shared" si="7"/>
        <v>40422.71</v>
      </c>
      <c r="F495" s="354">
        <v>40422.71</v>
      </c>
      <c r="G495" s="354"/>
      <c r="H495" s="335">
        <v>41681.5</v>
      </c>
      <c r="I495" s="217"/>
    </row>
    <row r="496" spans="1:9">
      <c r="A496" s="402" t="s">
        <v>1970</v>
      </c>
      <c r="B496" s="799">
        <v>305200100505000</v>
      </c>
      <c r="C496" s="320" t="s">
        <v>802</v>
      </c>
      <c r="D496" s="329"/>
      <c r="E496" s="335">
        <f t="shared" si="7"/>
        <v>0</v>
      </c>
      <c r="F496" s="354"/>
      <c r="G496" s="354"/>
      <c r="H496" s="335">
        <v>0</v>
      </c>
      <c r="I496" s="217"/>
    </row>
    <row r="497" spans="1:9">
      <c r="A497" s="401" t="s">
        <v>1969</v>
      </c>
      <c r="B497" s="800" t="s">
        <v>808</v>
      </c>
      <c r="C497" s="317" t="s">
        <v>2262</v>
      </c>
      <c r="D497" s="328"/>
      <c r="E497" s="359"/>
      <c r="F497" s="359"/>
      <c r="G497" s="359"/>
      <c r="H497" s="359">
        <v>0</v>
      </c>
    </row>
    <row r="498" spans="1:9">
      <c r="A498" s="401" t="s">
        <v>1970</v>
      </c>
      <c r="B498" s="800" t="s">
        <v>809</v>
      </c>
      <c r="C498" s="317" t="s">
        <v>2263</v>
      </c>
      <c r="D498" s="328"/>
      <c r="E498" s="359"/>
      <c r="F498" s="359"/>
      <c r="G498" s="359"/>
      <c r="H498" s="359">
        <v>0</v>
      </c>
    </row>
    <row r="499" spans="1:9">
      <c r="A499" s="402" t="s">
        <v>2017</v>
      </c>
      <c r="B499" s="799">
        <v>305200100551000</v>
      </c>
      <c r="C499" s="320" t="s">
        <v>2264</v>
      </c>
      <c r="D499" s="329"/>
      <c r="E499" s="335">
        <f t="shared" si="7"/>
        <v>3920220.38</v>
      </c>
      <c r="F499" s="354">
        <v>3920220.38</v>
      </c>
      <c r="G499" s="354"/>
      <c r="H499" s="335">
        <v>3894756.28</v>
      </c>
      <c r="I499" s="217"/>
    </row>
    <row r="500" spans="1:9" ht="25.5">
      <c r="A500" s="401" t="s">
        <v>1970</v>
      </c>
      <c r="B500" s="800" t="s">
        <v>811</v>
      </c>
      <c r="C500" s="317" t="s">
        <v>2265</v>
      </c>
      <c r="D500" s="328"/>
      <c r="E500" s="359"/>
      <c r="F500" s="359"/>
      <c r="G500" s="359"/>
      <c r="H500" s="359">
        <v>0</v>
      </c>
    </row>
    <row r="501" spans="1:9">
      <c r="A501" s="402" t="s">
        <v>2017</v>
      </c>
      <c r="B501" s="799">
        <v>305200100552000</v>
      </c>
      <c r="C501" s="320" t="s">
        <v>810</v>
      </c>
      <c r="D501" s="329"/>
      <c r="E501" s="335">
        <f t="shared" si="7"/>
        <v>34813.300000000003</v>
      </c>
      <c r="F501" s="354">
        <v>34813.300000000003</v>
      </c>
      <c r="G501" s="354"/>
      <c r="H501" s="335">
        <v>34703.879999999997</v>
      </c>
      <c r="I501" s="217"/>
    </row>
    <row r="502" spans="1:9">
      <c r="A502" s="401" t="s">
        <v>1969</v>
      </c>
      <c r="B502" s="800" t="s">
        <v>812</v>
      </c>
      <c r="C502" s="317" t="s">
        <v>1562</v>
      </c>
      <c r="D502" s="328"/>
      <c r="E502" s="359"/>
      <c r="F502" s="359"/>
      <c r="G502" s="359"/>
      <c r="H502" s="359">
        <v>0</v>
      </c>
    </row>
    <row r="503" spans="1:9" ht="25.5">
      <c r="A503" s="401" t="s">
        <v>1970</v>
      </c>
      <c r="B503" s="800" t="s">
        <v>814</v>
      </c>
      <c r="C503" s="317" t="s">
        <v>1563</v>
      </c>
      <c r="D503" s="328" t="s">
        <v>1248</v>
      </c>
      <c r="E503" s="359"/>
      <c r="F503" s="359"/>
      <c r="G503" s="359"/>
      <c r="H503" s="359">
        <v>0</v>
      </c>
    </row>
    <row r="504" spans="1:9" ht="24">
      <c r="A504" s="402" t="s">
        <v>2017</v>
      </c>
      <c r="B504" s="799">
        <v>305200100601000</v>
      </c>
      <c r="C504" s="320" t="s">
        <v>813</v>
      </c>
      <c r="D504" s="329" t="s">
        <v>1248</v>
      </c>
      <c r="E504" s="335">
        <f t="shared" si="7"/>
        <v>0</v>
      </c>
      <c r="F504" s="354"/>
      <c r="G504" s="354"/>
      <c r="H504" s="335">
        <v>0</v>
      </c>
      <c r="I504" s="217"/>
    </row>
    <row r="505" spans="1:9" ht="25.5">
      <c r="A505" s="401" t="s">
        <v>1970</v>
      </c>
      <c r="B505" s="800" t="s">
        <v>815</v>
      </c>
      <c r="C505" s="317" t="s">
        <v>1564</v>
      </c>
      <c r="D505" s="328"/>
      <c r="E505" s="359"/>
      <c r="F505" s="359"/>
      <c r="G505" s="359"/>
      <c r="H505" s="359">
        <v>0</v>
      </c>
    </row>
    <row r="506" spans="1:9">
      <c r="A506" s="402" t="s">
        <v>2017</v>
      </c>
      <c r="B506" s="799">
        <v>305200100602005</v>
      </c>
      <c r="C506" s="320" t="s">
        <v>816</v>
      </c>
      <c r="D506" s="329"/>
      <c r="E506" s="335">
        <f t="shared" si="7"/>
        <v>182114</v>
      </c>
      <c r="F506" s="354">
        <v>182114</v>
      </c>
      <c r="G506" s="354"/>
      <c r="H506" s="335">
        <v>147562</v>
      </c>
      <c r="I506" s="217"/>
    </row>
    <row r="507" spans="1:9">
      <c r="A507" s="402" t="s">
        <v>2017</v>
      </c>
      <c r="B507" s="799">
        <v>305200100602010</v>
      </c>
      <c r="C507" s="320" t="s">
        <v>817</v>
      </c>
      <c r="D507" s="329"/>
      <c r="E507" s="335">
        <f t="shared" si="7"/>
        <v>0</v>
      </c>
      <c r="F507" s="354"/>
      <c r="G507" s="354"/>
      <c r="H507" s="335">
        <v>0</v>
      </c>
      <c r="I507" s="217"/>
    </row>
    <row r="508" spans="1:9">
      <c r="A508" s="401" t="s">
        <v>1970</v>
      </c>
      <c r="B508" s="800" t="s">
        <v>819</v>
      </c>
      <c r="C508" s="317" t="s">
        <v>1565</v>
      </c>
      <c r="D508" s="328"/>
      <c r="E508" s="359"/>
      <c r="F508" s="359"/>
      <c r="G508" s="359"/>
      <c r="H508" s="359">
        <v>0</v>
      </c>
    </row>
    <row r="509" spans="1:9">
      <c r="A509" s="402" t="s">
        <v>2017</v>
      </c>
      <c r="B509" s="799">
        <v>305200100603005</v>
      </c>
      <c r="C509" s="320" t="s">
        <v>820</v>
      </c>
      <c r="D509" s="329"/>
      <c r="E509" s="335">
        <f t="shared" si="7"/>
        <v>0</v>
      </c>
      <c r="F509" s="354"/>
      <c r="G509" s="354"/>
      <c r="H509" s="335">
        <v>0</v>
      </c>
      <c r="I509" s="217"/>
    </row>
    <row r="510" spans="1:9">
      <c r="A510" s="402" t="s">
        <v>2017</v>
      </c>
      <c r="B510" s="799">
        <v>305200100603010</v>
      </c>
      <c r="C510" s="320" t="s">
        <v>821</v>
      </c>
      <c r="D510" s="329"/>
      <c r="E510" s="335">
        <f t="shared" si="7"/>
        <v>0</v>
      </c>
      <c r="F510" s="354"/>
      <c r="G510" s="354"/>
      <c r="H510" s="335">
        <v>0</v>
      </c>
      <c r="I510" s="217"/>
    </row>
    <row r="511" spans="1:9">
      <c r="A511" s="402" t="s">
        <v>2017</v>
      </c>
      <c r="B511" s="799">
        <v>305200100603015</v>
      </c>
      <c r="C511" s="320" t="s">
        <v>822</v>
      </c>
      <c r="D511" s="329"/>
      <c r="E511" s="335">
        <f t="shared" si="7"/>
        <v>0</v>
      </c>
      <c r="F511" s="354"/>
      <c r="G511" s="354"/>
      <c r="H511" s="335">
        <v>4</v>
      </c>
      <c r="I511" s="217"/>
    </row>
    <row r="512" spans="1:9">
      <c r="A512" s="402" t="s">
        <v>2017</v>
      </c>
      <c r="B512" s="799">
        <v>305200100603020</v>
      </c>
      <c r="C512" s="320" t="s">
        <v>823</v>
      </c>
      <c r="D512" s="329"/>
      <c r="E512" s="335">
        <f t="shared" si="7"/>
        <v>0</v>
      </c>
      <c r="F512" s="354"/>
      <c r="G512" s="354"/>
      <c r="H512" s="335">
        <v>0</v>
      </c>
      <c r="I512" s="217"/>
    </row>
    <row r="513" spans="1:9">
      <c r="A513" s="402" t="s">
        <v>2017</v>
      </c>
      <c r="B513" s="799">
        <v>305200100603025</v>
      </c>
      <c r="C513" s="320" t="s">
        <v>824</v>
      </c>
      <c r="D513" s="329"/>
      <c r="E513" s="335">
        <f t="shared" si="7"/>
        <v>0</v>
      </c>
      <c r="F513" s="354"/>
      <c r="G513" s="354"/>
      <c r="H513" s="335">
        <v>1014.5</v>
      </c>
      <c r="I513" s="217"/>
    </row>
    <row r="514" spans="1:9">
      <c r="A514" s="402" t="s">
        <v>2017</v>
      </c>
      <c r="B514" s="799">
        <v>305200100603030</v>
      </c>
      <c r="C514" s="320" t="s">
        <v>825</v>
      </c>
      <c r="D514" s="329"/>
      <c r="E514" s="335">
        <f t="shared" si="7"/>
        <v>43978.25</v>
      </c>
      <c r="F514" s="354">
        <v>43978.25</v>
      </c>
      <c r="G514" s="354"/>
      <c r="H514" s="335">
        <v>225058.72</v>
      </c>
      <c r="I514" s="217"/>
    </row>
    <row r="515" spans="1:9">
      <c r="A515" s="402" t="s">
        <v>2017</v>
      </c>
      <c r="B515" s="799">
        <v>305200100603035</v>
      </c>
      <c r="C515" s="320" t="s">
        <v>826</v>
      </c>
      <c r="D515" s="329"/>
      <c r="E515" s="335">
        <f t="shared" si="7"/>
        <v>183351.67</v>
      </c>
      <c r="F515" s="354">
        <v>183351.67</v>
      </c>
      <c r="G515" s="354"/>
      <c r="H515" s="335">
        <v>81401.89</v>
      </c>
      <c r="I515" s="217"/>
    </row>
    <row r="516" spans="1:9">
      <c r="A516" s="402" t="s">
        <v>2017</v>
      </c>
      <c r="B516" s="799">
        <v>305200100603040</v>
      </c>
      <c r="C516" s="320" t="s">
        <v>827</v>
      </c>
      <c r="D516" s="329"/>
      <c r="E516" s="335">
        <f t="shared" si="7"/>
        <v>308.60000000000002</v>
      </c>
      <c r="F516" s="354">
        <v>308.60000000000002</v>
      </c>
      <c r="G516" s="354"/>
      <c r="H516" s="335">
        <v>399.12</v>
      </c>
      <c r="I516" s="217"/>
    </row>
    <row r="517" spans="1:9" s="223" customFormat="1">
      <c r="A517" s="402" t="s">
        <v>2017</v>
      </c>
      <c r="B517" s="801">
        <v>305200100603045</v>
      </c>
      <c r="C517" s="320" t="s">
        <v>828</v>
      </c>
      <c r="D517" s="329"/>
      <c r="E517" s="335">
        <f t="shared" si="7"/>
        <v>302</v>
      </c>
      <c r="F517" s="354">
        <v>302</v>
      </c>
      <c r="G517" s="354"/>
      <c r="H517" s="335">
        <v>1738</v>
      </c>
      <c r="I517" s="217"/>
    </row>
    <row r="518" spans="1:9" s="223" customFormat="1">
      <c r="A518" s="402" t="s">
        <v>2017</v>
      </c>
      <c r="B518" s="799">
        <v>305200100603050</v>
      </c>
      <c r="C518" s="320" t="s">
        <v>829</v>
      </c>
      <c r="D518" s="329"/>
      <c r="E518" s="335">
        <f t="shared" ref="E518:E580" si="8">+F518+G518</f>
        <v>0</v>
      </c>
      <c r="F518" s="354"/>
      <c r="G518" s="354"/>
      <c r="H518" s="335">
        <v>117.96</v>
      </c>
      <c r="I518" s="217"/>
    </row>
    <row r="519" spans="1:9">
      <c r="A519" s="402" t="s">
        <v>2017</v>
      </c>
      <c r="B519" s="799">
        <v>305200100603055</v>
      </c>
      <c r="C519" s="320" t="s">
        <v>830</v>
      </c>
      <c r="D519" s="329"/>
      <c r="E519" s="335">
        <f t="shared" si="8"/>
        <v>50273.3</v>
      </c>
      <c r="F519" s="354">
        <v>50273.3</v>
      </c>
      <c r="G519" s="354"/>
      <c r="H519" s="335">
        <v>176600.68</v>
      </c>
      <c r="I519" s="217"/>
    </row>
    <row r="520" spans="1:9">
      <c r="A520" s="402" t="s">
        <v>2017</v>
      </c>
      <c r="B520" s="799">
        <v>305200100603060</v>
      </c>
      <c r="C520" s="320" t="s">
        <v>831</v>
      </c>
      <c r="D520" s="329"/>
      <c r="E520" s="335">
        <f t="shared" si="8"/>
        <v>20289.89</v>
      </c>
      <c r="F520" s="354">
        <v>20289.89</v>
      </c>
      <c r="G520" s="354"/>
      <c r="H520" s="335">
        <v>17502.5</v>
      </c>
      <c r="I520" s="217"/>
    </row>
    <row r="521" spans="1:9">
      <c r="A521" s="402" t="s">
        <v>2017</v>
      </c>
      <c r="B521" s="799">
        <v>305200100603065</v>
      </c>
      <c r="C521" s="320" t="s">
        <v>832</v>
      </c>
      <c r="D521" s="329"/>
      <c r="E521" s="335">
        <f t="shared" si="8"/>
        <v>0</v>
      </c>
      <c r="F521" s="354"/>
      <c r="G521" s="354"/>
      <c r="H521" s="335">
        <v>2430.86</v>
      </c>
      <c r="I521" s="217"/>
    </row>
    <row r="522" spans="1:9">
      <c r="A522" s="402" t="s">
        <v>2017</v>
      </c>
      <c r="B522" s="799">
        <v>305200100603080</v>
      </c>
      <c r="C522" s="320" t="s">
        <v>833</v>
      </c>
      <c r="D522" s="329"/>
      <c r="E522" s="335">
        <f t="shared" si="8"/>
        <v>0</v>
      </c>
      <c r="F522" s="354"/>
      <c r="G522" s="354"/>
      <c r="H522" s="335">
        <v>0</v>
      </c>
      <c r="I522" s="217"/>
    </row>
    <row r="523" spans="1:9">
      <c r="A523" s="402" t="s">
        <v>2017</v>
      </c>
      <c r="B523" s="799">
        <v>305200100603090</v>
      </c>
      <c r="C523" s="320" t="s">
        <v>818</v>
      </c>
      <c r="D523" s="329"/>
      <c r="E523" s="335">
        <f t="shared" si="8"/>
        <v>13182362.189999999</v>
      </c>
      <c r="F523" s="354">
        <v>13182362.189999999</v>
      </c>
      <c r="G523" s="354"/>
      <c r="H523" s="335">
        <v>12563831.23</v>
      </c>
      <c r="I523" s="217"/>
    </row>
    <row r="524" spans="1:9" ht="25.5">
      <c r="A524" s="401" t="s">
        <v>1967</v>
      </c>
      <c r="B524" s="800" t="s">
        <v>834</v>
      </c>
      <c r="C524" s="317" t="s">
        <v>2266</v>
      </c>
      <c r="D524" s="328"/>
      <c r="E524" s="359"/>
      <c r="F524" s="359"/>
      <c r="G524" s="359"/>
      <c r="H524" s="359">
        <v>0</v>
      </c>
    </row>
    <row r="525" spans="1:9" ht="25.5">
      <c r="A525" s="401" t="s">
        <v>1969</v>
      </c>
      <c r="B525" s="800" t="s">
        <v>836</v>
      </c>
      <c r="C525" s="317" t="s">
        <v>1567</v>
      </c>
      <c r="D525" s="328" t="s">
        <v>1248</v>
      </c>
      <c r="E525" s="359"/>
      <c r="F525" s="359"/>
      <c r="G525" s="359"/>
      <c r="H525" s="359">
        <v>0</v>
      </c>
    </row>
    <row r="526" spans="1:9" ht="24">
      <c r="A526" s="402" t="s">
        <v>1970</v>
      </c>
      <c r="B526" s="799">
        <v>305200200100000</v>
      </c>
      <c r="C526" s="320" t="s">
        <v>835</v>
      </c>
      <c r="D526" s="329" t="s">
        <v>1248</v>
      </c>
      <c r="E526" s="335">
        <f t="shared" si="8"/>
        <v>16931.64</v>
      </c>
      <c r="F526" s="354">
        <v>16931.64</v>
      </c>
      <c r="G526" s="354"/>
      <c r="H526" s="335">
        <v>17058.68</v>
      </c>
      <c r="I526" s="217"/>
    </row>
    <row r="527" spans="1:9" ht="25.5">
      <c r="A527" s="401" t="s">
        <v>1969</v>
      </c>
      <c r="B527" s="800" t="s">
        <v>838</v>
      </c>
      <c r="C527" s="317" t="s">
        <v>1568</v>
      </c>
      <c r="D527" s="328"/>
      <c r="E527" s="359"/>
      <c r="F527" s="359"/>
      <c r="G527" s="359"/>
      <c r="H527" s="359">
        <v>0</v>
      </c>
    </row>
    <row r="528" spans="1:9">
      <c r="A528" s="402" t="s">
        <v>1970</v>
      </c>
      <c r="B528" s="799">
        <v>305200200200000</v>
      </c>
      <c r="C528" s="320" t="s">
        <v>837</v>
      </c>
      <c r="D528" s="329"/>
      <c r="E528" s="335">
        <f t="shared" si="8"/>
        <v>0</v>
      </c>
      <c r="F528" s="354"/>
      <c r="G528" s="354"/>
      <c r="H528" s="335">
        <v>0</v>
      </c>
      <c r="I528" s="217"/>
    </row>
    <row r="529" spans="1:9" ht="25.5">
      <c r="A529" s="401" t="s">
        <v>1969</v>
      </c>
      <c r="B529" s="800" t="s">
        <v>839</v>
      </c>
      <c r="C529" s="317" t="s">
        <v>1569</v>
      </c>
      <c r="D529" s="328"/>
      <c r="E529" s="359"/>
      <c r="F529" s="359"/>
      <c r="G529" s="359"/>
      <c r="H529" s="359">
        <v>0</v>
      </c>
    </row>
    <row r="530" spans="1:9">
      <c r="A530" s="401" t="s">
        <v>1970</v>
      </c>
      <c r="B530" s="800" t="s">
        <v>840</v>
      </c>
      <c r="C530" s="317" t="s">
        <v>1570</v>
      </c>
      <c r="D530" s="328"/>
      <c r="E530" s="359"/>
      <c r="F530" s="359"/>
      <c r="G530" s="359"/>
      <c r="H530" s="359">
        <v>0</v>
      </c>
    </row>
    <row r="531" spans="1:9">
      <c r="A531" s="402" t="s">
        <v>2017</v>
      </c>
      <c r="B531" s="799">
        <v>305200200301005</v>
      </c>
      <c r="C531" s="320" t="s">
        <v>841</v>
      </c>
      <c r="D531" s="329"/>
      <c r="E531" s="335">
        <f t="shared" si="8"/>
        <v>7515.2</v>
      </c>
      <c r="F531" s="354">
        <v>7515.2</v>
      </c>
      <c r="G531" s="354"/>
      <c r="H531" s="335">
        <v>7515.2</v>
      </c>
      <c r="I531" s="217"/>
    </row>
    <row r="532" spans="1:9">
      <c r="A532" s="402" t="s">
        <v>2017</v>
      </c>
      <c r="B532" s="799">
        <v>305200200301010</v>
      </c>
      <c r="C532" s="320" t="s">
        <v>842</v>
      </c>
      <c r="D532" s="329"/>
      <c r="E532" s="335">
        <f t="shared" si="8"/>
        <v>0</v>
      </c>
      <c r="F532" s="354"/>
      <c r="G532" s="354"/>
      <c r="H532" s="335">
        <v>0</v>
      </c>
      <c r="I532" s="217"/>
    </row>
    <row r="533" spans="1:9">
      <c r="A533" s="402" t="s">
        <v>2017</v>
      </c>
      <c r="B533" s="799">
        <v>305200200301015</v>
      </c>
      <c r="C533" s="320" t="s">
        <v>843</v>
      </c>
      <c r="D533" s="329"/>
      <c r="E533" s="335">
        <f t="shared" si="8"/>
        <v>0</v>
      </c>
      <c r="F533" s="354"/>
      <c r="G533" s="354"/>
      <c r="H533" s="335">
        <v>0</v>
      </c>
      <c r="I533" s="217"/>
    </row>
    <row r="534" spans="1:9">
      <c r="A534" s="402" t="s">
        <v>2017</v>
      </c>
      <c r="B534" s="799">
        <v>305200200301020</v>
      </c>
      <c r="C534" s="320" t="s">
        <v>844</v>
      </c>
      <c r="D534" s="329"/>
      <c r="E534" s="335">
        <f t="shared" si="8"/>
        <v>0</v>
      </c>
      <c r="F534" s="354"/>
      <c r="G534" s="354"/>
      <c r="H534" s="335">
        <v>0</v>
      </c>
      <c r="I534" s="217"/>
    </row>
    <row r="535" spans="1:9">
      <c r="A535" s="402" t="s">
        <v>2017</v>
      </c>
      <c r="B535" s="799">
        <v>305200200301090</v>
      </c>
      <c r="C535" s="320" t="s">
        <v>845</v>
      </c>
      <c r="D535" s="329"/>
      <c r="E535" s="335">
        <f t="shared" si="8"/>
        <v>0</v>
      </c>
      <c r="F535" s="354"/>
      <c r="G535" s="354"/>
      <c r="H535" s="335">
        <v>0</v>
      </c>
      <c r="I535" s="217"/>
    </row>
    <row r="536" spans="1:9" ht="25.5">
      <c r="A536" s="401" t="s">
        <v>1970</v>
      </c>
      <c r="B536" s="800" t="s">
        <v>847</v>
      </c>
      <c r="C536" s="317" t="s">
        <v>1571</v>
      </c>
      <c r="D536" s="328"/>
      <c r="E536" s="359"/>
      <c r="F536" s="359"/>
      <c r="G536" s="359"/>
      <c r="H536" s="359">
        <v>0</v>
      </c>
    </row>
    <row r="537" spans="1:9" ht="24">
      <c r="A537" s="402" t="s">
        <v>2017</v>
      </c>
      <c r="B537" s="799">
        <v>305200200302000</v>
      </c>
      <c r="C537" s="320" t="s">
        <v>846</v>
      </c>
      <c r="D537" s="329"/>
      <c r="E537" s="335">
        <f t="shared" si="8"/>
        <v>0</v>
      </c>
      <c r="F537" s="354"/>
      <c r="G537" s="354"/>
      <c r="H537" s="335">
        <v>0</v>
      </c>
      <c r="I537" s="217"/>
    </row>
    <row r="538" spans="1:9" ht="25.5">
      <c r="A538" s="401" t="s">
        <v>1970</v>
      </c>
      <c r="B538" s="800" t="s">
        <v>848</v>
      </c>
      <c r="C538" s="317" t="s">
        <v>2267</v>
      </c>
      <c r="D538" s="328"/>
      <c r="E538" s="359"/>
      <c r="F538" s="359"/>
      <c r="G538" s="359"/>
      <c r="H538" s="359">
        <v>0</v>
      </c>
    </row>
    <row r="539" spans="1:9">
      <c r="A539" s="402" t="s">
        <v>2017</v>
      </c>
      <c r="B539" s="799">
        <v>305200200303000</v>
      </c>
      <c r="C539" s="320" t="s">
        <v>2268</v>
      </c>
      <c r="D539" s="329"/>
      <c r="E539" s="335">
        <f t="shared" si="8"/>
        <v>0</v>
      </c>
      <c r="F539" s="354"/>
      <c r="G539" s="354"/>
      <c r="H539" s="335">
        <v>0</v>
      </c>
      <c r="I539" s="217"/>
    </row>
    <row r="540" spans="1:9">
      <c r="A540" s="401" t="s">
        <v>1970</v>
      </c>
      <c r="B540" s="800" t="s">
        <v>849</v>
      </c>
      <c r="C540" s="317" t="s">
        <v>2269</v>
      </c>
      <c r="D540" s="328"/>
      <c r="E540" s="359"/>
      <c r="F540" s="359"/>
      <c r="G540" s="359"/>
      <c r="H540" s="359">
        <v>0</v>
      </c>
    </row>
    <row r="541" spans="1:9">
      <c r="A541" s="402" t="s">
        <v>2017</v>
      </c>
      <c r="B541" s="799">
        <v>305200200304000</v>
      </c>
      <c r="C541" s="320" t="s">
        <v>2270</v>
      </c>
      <c r="D541" s="329"/>
      <c r="E541" s="335">
        <f t="shared" si="8"/>
        <v>110231.83</v>
      </c>
      <c r="F541" s="354">
        <v>110231.83</v>
      </c>
      <c r="G541" s="354"/>
      <c r="H541" s="335">
        <v>574477.9</v>
      </c>
      <c r="I541" s="217"/>
    </row>
    <row r="542" spans="1:9" ht="25.5">
      <c r="A542" s="401" t="s">
        <v>1970</v>
      </c>
      <c r="B542" s="800" t="s">
        <v>850</v>
      </c>
      <c r="C542" s="317" t="s">
        <v>2271</v>
      </c>
      <c r="D542" s="328"/>
      <c r="E542" s="359"/>
      <c r="F542" s="359"/>
      <c r="G542" s="359"/>
      <c r="H542" s="359">
        <v>0</v>
      </c>
    </row>
    <row r="543" spans="1:9">
      <c r="A543" s="402" t="s">
        <v>2017</v>
      </c>
      <c r="B543" s="799">
        <v>305200200305010</v>
      </c>
      <c r="C543" s="320" t="s">
        <v>851</v>
      </c>
      <c r="D543" s="329"/>
      <c r="E543" s="335">
        <f t="shared" si="8"/>
        <v>0</v>
      </c>
      <c r="F543" s="354"/>
      <c r="G543" s="354"/>
      <c r="H543" s="335">
        <v>0</v>
      </c>
      <c r="I543" s="217"/>
    </row>
    <row r="544" spans="1:9" ht="24">
      <c r="A544" s="402" t="s">
        <v>2017</v>
      </c>
      <c r="B544" s="799">
        <v>305200200305020</v>
      </c>
      <c r="C544" s="320" t="s">
        <v>852</v>
      </c>
      <c r="D544" s="329"/>
      <c r="E544" s="335">
        <f t="shared" si="8"/>
        <v>0</v>
      </c>
      <c r="F544" s="354"/>
      <c r="G544" s="354"/>
      <c r="H544" s="335">
        <v>0</v>
      </c>
      <c r="I544" s="217"/>
    </row>
    <row r="545" spans="1:9">
      <c r="A545" s="402" t="s">
        <v>2017</v>
      </c>
      <c r="B545" s="799">
        <v>305200200305030</v>
      </c>
      <c r="C545" s="320" t="s">
        <v>853</v>
      </c>
      <c r="D545" s="329"/>
      <c r="E545" s="335">
        <f t="shared" si="8"/>
        <v>0</v>
      </c>
      <c r="F545" s="354"/>
      <c r="G545" s="354"/>
      <c r="H545" s="335">
        <v>0</v>
      </c>
      <c r="I545" s="217"/>
    </row>
    <row r="546" spans="1:9">
      <c r="A546" s="402" t="s">
        <v>2017</v>
      </c>
      <c r="B546" s="799">
        <v>305200200305040</v>
      </c>
      <c r="C546" s="320" t="s">
        <v>854</v>
      </c>
      <c r="D546" s="329"/>
      <c r="E546" s="335">
        <f t="shared" si="8"/>
        <v>37860.92</v>
      </c>
      <c r="F546" s="354">
        <v>37860.92</v>
      </c>
      <c r="G546" s="354"/>
      <c r="H546" s="335">
        <v>33373.82</v>
      </c>
      <c r="I546" s="217"/>
    </row>
    <row r="547" spans="1:9">
      <c r="A547" s="402" t="s">
        <v>2017</v>
      </c>
      <c r="B547" s="799">
        <v>305200200305090</v>
      </c>
      <c r="C547" s="320" t="s">
        <v>2272</v>
      </c>
      <c r="D547" s="329"/>
      <c r="E547" s="335">
        <f t="shared" si="8"/>
        <v>79509.77</v>
      </c>
      <c r="F547" s="354">
        <v>79509.77</v>
      </c>
      <c r="G547" s="354"/>
      <c r="H547" s="335">
        <v>90050.93</v>
      </c>
      <c r="I547" s="217"/>
    </row>
    <row r="548" spans="1:9" ht="51">
      <c r="A548" s="401" t="s">
        <v>1970</v>
      </c>
      <c r="B548" s="800" t="s">
        <v>855</v>
      </c>
      <c r="C548" s="317" t="s">
        <v>2273</v>
      </c>
      <c r="D548" s="328"/>
      <c r="E548" s="359"/>
      <c r="F548" s="359"/>
      <c r="G548" s="359"/>
      <c r="H548" s="359">
        <v>0</v>
      </c>
    </row>
    <row r="549" spans="1:9" ht="48">
      <c r="A549" s="402" t="s">
        <v>2017</v>
      </c>
      <c r="B549" s="799">
        <v>305200200306000</v>
      </c>
      <c r="C549" s="320" t="s">
        <v>2274</v>
      </c>
      <c r="D549" s="329"/>
      <c r="E549" s="335">
        <f t="shared" si="8"/>
        <v>0</v>
      </c>
      <c r="F549" s="354"/>
      <c r="G549" s="354"/>
      <c r="H549" s="335">
        <v>0</v>
      </c>
      <c r="I549" s="217"/>
    </row>
    <row r="550" spans="1:9" ht="25.5">
      <c r="A550" s="401" t="s">
        <v>1969</v>
      </c>
      <c r="B550" s="800" t="s">
        <v>856</v>
      </c>
      <c r="C550" s="317" t="s">
        <v>1576</v>
      </c>
      <c r="D550" s="328"/>
      <c r="E550" s="359"/>
      <c r="F550" s="359"/>
      <c r="G550" s="359"/>
      <c r="H550" s="359">
        <v>0</v>
      </c>
    </row>
    <row r="551" spans="1:9" ht="38.25">
      <c r="A551" s="401" t="s">
        <v>1970</v>
      </c>
      <c r="B551" s="800" t="s">
        <v>858</v>
      </c>
      <c r="C551" s="317" t="s">
        <v>1577</v>
      </c>
      <c r="D551" s="328" t="s">
        <v>1248</v>
      </c>
      <c r="E551" s="359"/>
      <c r="F551" s="359"/>
      <c r="G551" s="359"/>
      <c r="H551" s="359">
        <v>0</v>
      </c>
    </row>
    <row r="552" spans="1:9" ht="24">
      <c r="A552" s="402" t="s">
        <v>2017</v>
      </c>
      <c r="B552" s="799">
        <v>305200200401000</v>
      </c>
      <c r="C552" s="320" t="s">
        <v>857</v>
      </c>
      <c r="D552" s="329" t="s">
        <v>1248</v>
      </c>
      <c r="E552" s="335">
        <f t="shared" si="8"/>
        <v>2284.15</v>
      </c>
      <c r="F552" s="354">
        <v>2284.15</v>
      </c>
      <c r="G552" s="354"/>
      <c r="H552" s="335">
        <v>0</v>
      </c>
      <c r="I552" s="217"/>
    </row>
    <row r="553" spans="1:9" ht="38.25">
      <c r="A553" s="401" t="s">
        <v>1970</v>
      </c>
      <c r="B553" s="800" t="s">
        <v>860</v>
      </c>
      <c r="C553" s="317" t="s">
        <v>1578</v>
      </c>
      <c r="D553" s="328"/>
      <c r="E553" s="359"/>
      <c r="F553" s="359"/>
      <c r="G553" s="359"/>
      <c r="H553" s="359">
        <v>0</v>
      </c>
    </row>
    <row r="554" spans="1:9" ht="24">
      <c r="A554" s="402" t="s">
        <v>2017</v>
      </c>
      <c r="B554" s="799">
        <v>305200200402000</v>
      </c>
      <c r="C554" s="320" t="s">
        <v>859</v>
      </c>
      <c r="D554" s="329"/>
      <c r="E554" s="335">
        <f t="shared" si="8"/>
        <v>0</v>
      </c>
      <c r="F554" s="354"/>
      <c r="G554" s="354"/>
      <c r="H554" s="335">
        <v>0</v>
      </c>
      <c r="I554" s="217"/>
    </row>
    <row r="555" spans="1:9" ht="38.25">
      <c r="A555" s="401" t="s">
        <v>1970</v>
      </c>
      <c r="B555" s="800" t="s">
        <v>862</v>
      </c>
      <c r="C555" s="317" t="s">
        <v>1579</v>
      </c>
      <c r="D555" s="328"/>
      <c r="E555" s="359"/>
      <c r="F555" s="359"/>
      <c r="G555" s="359"/>
      <c r="H555" s="359">
        <v>0</v>
      </c>
    </row>
    <row r="556" spans="1:9" ht="24">
      <c r="A556" s="402" t="s">
        <v>2017</v>
      </c>
      <c r="B556" s="799">
        <v>305200200403000</v>
      </c>
      <c r="C556" s="320" t="s">
        <v>861</v>
      </c>
      <c r="D556" s="329"/>
      <c r="E556" s="335">
        <f t="shared" si="8"/>
        <v>0</v>
      </c>
      <c r="F556" s="354"/>
      <c r="G556" s="354"/>
      <c r="H556" s="335">
        <v>0</v>
      </c>
      <c r="I556" s="217"/>
    </row>
    <row r="557" spans="1:9">
      <c r="A557" s="401" t="s">
        <v>1967</v>
      </c>
      <c r="B557" s="800" t="s">
        <v>863</v>
      </c>
      <c r="C557" s="317" t="s">
        <v>1580</v>
      </c>
      <c r="D557" s="328"/>
      <c r="E557" s="359"/>
      <c r="F557" s="359"/>
      <c r="G557" s="359"/>
      <c r="H557" s="359">
        <v>0</v>
      </c>
    </row>
    <row r="558" spans="1:9">
      <c r="A558" s="401" t="s">
        <v>1969</v>
      </c>
      <c r="B558" s="800" t="s">
        <v>865</v>
      </c>
      <c r="C558" s="317" t="s">
        <v>1581</v>
      </c>
      <c r="D558" s="328"/>
      <c r="E558" s="359"/>
      <c r="F558" s="359"/>
      <c r="G558" s="359"/>
      <c r="H558" s="359">
        <v>0</v>
      </c>
    </row>
    <row r="559" spans="1:9">
      <c r="A559" s="402" t="s">
        <v>1970</v>
      </c>
      <c r="B559" s="799">
        <v>305200300100000</v>
      </c>
      <c r="C559" s="320" t="s">
        <v>864</v>
      </c>
      <c r="D559" s="329"/>
      <c r="E559" s="335">
        <f t="shared" si="8"/>
        <v>440</v>
      </c>
      <c r="F559" s="354">
        <v>440</v>
      </c>
      <c r="G559" s="354"/>
      <c r="H559" s="335">
        <v>0</v>
      </c>
      <c r="I559" s="217"/>
    </row>
    <row r="560" spans="1:9">
      <c r="A560" s="401" t="s">
        <v>1969</v>
      </c>
      <c r="B560" s="800" t="s">
        <v>867</v>
      </c>
      <c r="C560" s="317" t="s">
        <v>1582</v>
      </c>
      <c r="D560" s="328"/>
      <c r="E560" s="359"/>
      <c r="F560" s="359"/>
      <c r="G560" s="359"/>
      <c r="H560" s="359">
        <v>0</v>
      </c>
    </row>
    <row r="561" spans="1:9">
      <c r="A561" s="402" t="s">
        <v>1970</v>
      </c>
      <c r="B561" s="799">
        <v>305200300200000</v>
      </c>
      <c r="C561" s="320" t="s">
        <v>866</v>
      </c>
      <c r="D561" s="329"/>
      <c r="E561" s="335">
        <f t="shared" si="8"/>
        <v>79465.25</v>
      </c>
      <c r="F561" s="354">
        <v>79465.25</v>
      </c>
      <c r="G561" s="354"/>
      <c r="H561" s="335">
        <v>53949.09</v>
      </c>
      <c r="I561" s="217"/>
    </row>
    <row r="562" spans="1:9">
      <c r="A562" s="401" t="s">
        <v>1963</v>
      </c>
      <c r="B562" s="800" t="s">
        <v>1583</v>
      </c>
      <c r="C562" s="317" t="s">
        <v>2275</v>
      </c>
      <c r="D562" s="328"/>
      <c r="E562" s="359"/>
      <c r="F562" s="359"/>
      <c r="G562" s="359"/>
      <c r="H562" s="359">
        <v>0</v>
      </c>
    </row>
    <row r="563" spans="1:9" ht="25.5">
      <c r="A563" s="401" t="s">
        <v>1965</v>
      </c>
      <c r="B563" s="800" t="s">
        <v>869</v>
      </c>
      <c r="C563" s="317" t="s">
        <v>2276</v>
      </c>
      <c r="D563" s="328"/>
      <c r="E563" s="359"/>
      <c r="F563" s="359"/>
      <c r="G563" s="359"/>
      <c r="H563" s="359">
        <v>0</v>
      </c>
    </row>
    <row r="564" spans="1:9">
      <c r="A564" s="402" t="s">
        <v>1967</v>
      </c>
      <c r="B564" s="799">
        <v>310100000000000</v>
      </c>
      <c r="C564" s="320" t="s">
        <v>868</v>
      </c>
      <c r="D564" s="329"/>
      <c r="E564" s="335">
        <f t="shared" si="8"/>
        <v>0</v>
      </c>
      <c r="F564" s="354"/>
      <c r="G564" s="354"/>
      <c r="H564" s="335">
        <v>0</v>
      </c>
      <c r="I564" s="217"/>
    </row>
    <row r="565" spans="1:9" ht="25.5">
      <c r="A565" s="401" t="s">
        <v>1965</v>
      </c>
      <c r="B565" s="800" t="s">
        <v>870</v>
      </c>
      <c r="C565" s="317" t="s">
        <v>2277</v>
      </c>
      <c r="D565" s="328"/>
      <c r="E565" s="359"/>
      <c r="F565" s="359"/>
      <c r="G565" s="359"/>
      <c r="H565" s="359">
        <v>0</v>
      </c>
    </row>
    <row r="566" spans="1:9">
      <c r="A566" s="402">
        <v>5</v>
      </c>
      <c r="B566" s="799">
        <v>310200100000000</v>
      </c>
      <c r="C566" s="320" t="s">
        <v>871</v>
      </c>
      <c r="D566" s="329"/>
      <c r="E566" s="335">
        <f t="shared" si="8"/>
        <v>0</v>
      </c>
      <c r="F566" s="354"/>
      <c r="G566" s="354"/>
      <c r="H566" s="335">
        <v>0</v>
      </c>
      <c r="I566" s="217"/>
    </row>
    <row r="567" spans="1:9">
      <c r="A567" s="402">
        <v>5</v>
      </c>
      <c r="B567" s="799">
        <v>310200200000000</v>
      </c>
      <c r="C567" s="320" t="s">
        <v>872</v>
      </c>
      <c r="D567" s="329"/>
      <c r="E567" s="335">
        <f t="shared" si="8"/>
        <v>0</v>
      </c>
      <c r="F567" s="354"/>
      <c r="G567" s="354"/>
      <c r="H567" s="335">
        <v>0</v>
      </c>
      <c r="I567" s="217"/>
    </row>
    <row r="568" spans="1:9">
      <c r="A568" s="402">
        <v>5</v>
      </c>
      <c r="B568" s="799">
        <v>310200300000000</v>
      </c>
      <c r="C568" s="320" t="s">
        <v>873</v>
      </c>
      <c r="D568" s="329"/>
      <c r="E568" s="335">
        <f t="shared" si="8"/>
        <v>0</v>
      </c>
      <c r="F568" s="354"/>
      <c r="G568" s="354"/>
      <c r="H568" s="335">
        <v>0</v>
      </c>
      <c r="I568" s="217"/>
    </row>
    <row r="569" spans="1:9" ht="25.5">
      <c r="A569" s="401" t="s">
        <v>1965</v>
      </c>
      <c r="B569" s="800" t="s">
        <v>875</v>
      </c>
      <c r="C569" s="317" t="s">
        <v>2278</v>
      </c>
      <c r="D569" s="328"/>
      <c r="E569" s="359"/>
      <c r="F569" s="359"/>
      <c r="G569" s="359"/>
      <c r="H569" s="359">
        <v>0</v>
      </c>
    </row>
    <row r="570" spans="1:9" ht="24">
      <c r="A570" s="402" t="s">
        <v>1967</v>
      </c>
      <c r="B570" s="799">
        <v>310300000000000</v>
      </c>
      <c r="C570" s="320" t="s">
        <v>874</v>
      </c>
      <c r="D570" s="329"/>
      <c r="E570" s="335">
        <f t="shared" si="8"/>
        <v>0</v>
      </c>
      <c r="F570" s="354"/>
      <c r="G570" s="354"/>
      <c r="H570" s="335">
        <v>0</v>
      </c>
      <c r="I570" s="217"/>
    </row>
    <row r="571" spans="1:9">
      <c r="A571" s="401" t="s">
        <v>1965</v>
      </c>
      <c r="B571" s="800" t="s">
        <v>877</v>
      </c>
      <c r="C571" s="317" t="s">
        <v>2279</v>
      </c>
      <c r="D571" s="328"/>
      <c r="E571" s="359"/>
      <c r="F571" s="359"/>
      <c r="G571" s="359"/>
      <c r="H571" s="359">
        <v>0</v>
      </c>
    </row>
    <row r="572" spans="1:9">
      <c r="A572" s="402" t="s">
        <v>1967</v>
      </c>
      <c r="B572" s="799">
        <v>310400000000000</v>
      </c>
      <c r="C572" s="320" t="s">
        <v>876</v>
      </c>
      <c r="D572" s="329"/>
      <c r="E572" s="335">
        <f t="shared" si="8"/>
        <v>0</v>
      </c>
      <c r="F572" s="354"/>
      <c r="G572" s="354"/>
      <c r="H572" s="335">
        <v>0</v>
      </c>
      <c r="I572" s="217"/>
    </row>
    <row r="573" spans="1:9">
      <c r="A573" s="401" t="s">
        <v>1965</v>
      </c>
      <c r="B573" s="800" t="s">
        <v>879</v>
      </c>
      <c r="C573" s="317" t="s">
        <v>2280</v>
      </c>
      <c r="D573" s="328"/>
      <c r="E573" s="359"/>
      <c r="F573" s="359"/>
      <c r="G573" s="359"/>
      <c r="H573" s="359">
        <v>0</v>
      </c>
    </row>
    <row r="574" spans="1:9">
      <c r="A574" s="402" t="s">
        <v>1967</v>
      </c>
      <c r="B574" s="799">
        <v>310500000000000</v>
      </c>
      <c r="C574" s="320" t="s">
        <v>878</v>
      </c>
      <c r="D574" s="329"/>
      <c r="E574" s="335">
        <f t="shared" si="8"/>
        <v>6603.42</v>
      </c>
      <c r="F574" s="354">
        <v>6603.42</v>
      </c>
      <c r="G574" s="354"/>
      <c r="H574" s="335">
        <v>1064.03</v>
      </c>
      <c r="I574" s="217"/>
    </row>
    <row r="575" spans="1:9">
      <c r="A575" s="401" t="s">
        <v>1965</v>
      </c>
      <c r="B575" s="800" t="s">
        <v>881</v>
      </c>
      <c r="C575" s="317" t="s">
        <v>2281</v>
      </c>
      <c r="D575" s="328"/>
      <c r="E575" s="359"/>
      <c r="F575" s="359"/>
      <c r="G575" s="359"/>
      <c r="H575" s="359">
        <v>0</v>
      </c>
    </row>
    <row r="576" spans="1:9">
      <c r="A576" s="402" t="s">
        <v>1967</v>
      </c>
      <c r="B576" s="799">
        <v>310600100000000</v>
      </c>
      <c r="C576" s="320" t="s">
        <v>882</v>
      </c>
      <c r="D576" s="329"/>
      <c r="E576" s="335">
        <f t="shared" si="8"/>
        <v>0.01</v>
      </c>
      <c r="F576" s="354">
        <v>0.01</v>
      </c>
      <c r="G576" s="354"/>
      <c r="H576" s="335">
        <v>0</v>
      </c>
      <c r="I576" s="217"/>
    </row>
    <row r="577" spans="1:9">
      <c r="A577" s="402" t="s">
        <v>1967</v>
      </c>
      <c r="B577" s="799">
        <v>310600200000000</v>
      </c>
      <c r="C577" s="320" t="s">
        <v>883</v>
      </c>
      <c r="D577" s="329"/>
      <c r="E577" s="335">
        <f t="shared" si="8"/>
        <v>0</v>
      </c>
      <c r="F577" s="354"/>
      <c r="G577" s="354"/>
      <c r="H577" s="335">
        <v>0</v>
      </c>
      <c r="I577" s="217"/>
    </row>
    <row r="578" spans="1:9">
      <c r="A578" s="402" t="s">
        <v>1967</v>
      </c>
      <c r="B578" s="799">
        <v>310600300000000</v>
      </c>
      <c r="C578" s="320" t="s">
        <v>880</v>
      </c>
      <c r="D578" s="329"/>
      <c r="E578" s="335">
        <f t="shared" si="8"/>
        <v>0</v>
      </c>
      <c r="F578" s="354"/>
      <c r="G578" s="354"/>
      <c r="H578" s="335">
        <v>0</v>
      </c>
      <c r="I578" s="217"/>
    </row>
    <row r="579" spans="1:9" ht="25.5">
      <c r="A579" s="401" t="s">
        <v>1965</v>
      </c>
      <c r="B579" s="800" t="s">
        <v>885</v>
      </c>
      <c r="C579" s="317" t="s">
        <v>2282</v>
      </c>
      <c r="D579" s="328" t="s">
        <v>1248</v>
      </c>
      <c r="E579" s="359"/>
      <c r="F579" s="359"/>
      <c r="G579" s="359"/>
      <c r="H579" s="359">
        <v>0</v>
      </c>
    </row>
    <row r="580" spans="1:9" ht="24">
      <c r="A580" s="402" t="s">
        <v>1967</v>
      </c>
      <c r="B580" s="799">
        <v>310700000000000</v>
      </c>
      <c r="C580" s="320" t="s">
        <v>884</v>
      </c>
      <c r="D580" s="329" t="s">
        <v>1248</v>
      </c>
      <c r="E580" s="335">
        <f t="shared" si="8"/>
        <v>0</v>
      </c>
      <c r="F580" s="354"/>
      <c r="G580" s="354"/>
      <c r="H580" s="335">
        <v>0</v>
      </c>
      <c r="I580" s="217"/>
    </row>
    <row r="581" spans="1:9">
      <c r="A581" s="401" t="s">
        <v>1963</v>
      </c>
      <c r="B581" s="800" t="s">
        <v>886</v>
      </c>
      <c r="C581" s="317" t="s">
        <v>2283</v>
      </c>
      <c r="D581" s="328"/>
      <c r="E581" s="359"/>
      <c r="F581" s="359"/>
      <c r="G581" s="359"/>
      <c r="H581" s="359">
        <v>0</v>
      </c>
    </row>
    <row r="582" spans="1:9">
      <c r="A582" s="401" t="s">
        <v>1965</v>
      </c>
      <c r="B582" s="800" t="s">
        <v>887</v>
      </c>
      <c r="C582" s="317" t="s">
        <v>2284</v>
      </c>
      <c r="D582" s="328"/>
      <c r="E582" s="359"/>
      <c r="F582" s="359"/>
      <c r="G582" s="359"/>
      <c r="H582" s="359">
        <v>0</v>
      </c>
    </row>
    <row r="583" spans="1:9">
      <c r="A583" s="402">
        <v>5</v>
      </c>
      <c r="B583" s="799">
        <v>315100100000000</v>
      </c>
      <c r="C583" s="320" t="s">
        <v>888</v>
      </c>
      <c r="D583" s="329"/>
      <c r="E583" s="335">
        <f t="shared" ref="E583:E646" si="9">+F583+G583</f>
        <v>647793.34</v>
      </c>
      <c r="F583" s="354">
        <v>647793.34</v>
      </c>
      <c r="G583" s="354"/>
      <c r="H583" s="335">
        <v>605398.89</v>
      </c>
      <c r="I583" s="217"/>
    </row>
    <row r="584" spans="1:9">
      <c r="A584" s="402">
        <v>5</v>
      </c>
      <c r="B584" s="799">
        <v>315100200000000</v>
      </c>
      <c r="C584" s="320" t="s">
        <v>889</v>
      </c>
      <c r="D584" s="329"/>
      <c r="E584" s="335">
        <f t="shared" si="9"/>
        <v>0</v>
      </c>
      <c r="F584" s="354"/>
      <c r="G584" s="354"/>
      <c r="H584" s="335">
        <v>82616.009999999995</v>
      </c>
      <c r="I584" s="217"/>
    </row>
    <row r="585" spans="1:9">
      <c r="A585" s="401" t="s">
        <v>1965</v>
      </c>
      <c r="B585" s="800" t="s">
        <v>890</v>
      </c>
      <c r="C585" s="317" t="s">
        <v>2285</v>
      </c>
      <c r="D585" s="328"/>
      <c r="E585" s="359"/>
      <c r="F585" s="359"/>
      <c r="G585" s="359"/>
      <c r="H585" s="359">
        <v>0</v>
      </c>
    </row>
    <row r="586" spans="1:9">
      <c r="A586" s="401" t="s">
        <v>1967</v>
      </c>
      <c r="B586" s="800" t="s">
        <v>892</v>
      </c>
      <c r="C586" s="317" t="s">
        <v>1595</v>
      </c>
      <c r="D586" s="328"/>
      <c r="E586" s="359"/>
      <c r="F586" s="359"/>
      <c r="G586" s="359"/>
      <c r="H586" s="359">
        <v>0</v>
      </c>
    </row>
    <row r="587" spans="1:9">
      <c r="A587" s="402" t="s">
        <v>1969</v>
      </c>
      <c r="B587" s="799">
        <v>315200100000000</v>
      </c>
      <c r="C587" s="320" t="s">
        <v>891</v>
      </c>
      <c r="D587" s="329"/>
      <c r="E587" s="335">
        <f t="shared" si="9"/>
        <v>2204865.7400000002</v>
      </c>
      <c r="F587" s="354">
        <v>2204865.7400000002</v>
      </c>
      <c r="G587" s="354"/>
      <c r="H587" s="335">
        <v>2357042.52</v>
      </c>
      <c r="I587" s="217"/>
    </row>
    <row r="588" spans="1:9">
      <c r="A588" s="401" t="s">
        <v>1967</v>
      </c>
      <c r="B588" s="800" t="s">
        <v>893</v>
      </c>
      <c r="C588" s="317" t="s">
        <v>1596</v>
      </c>
      <c r="D588" s="328"/>
      <c r="E588" s="359"/>
      <c r="F588" s="359"/>
      <c r="G588" s="359"/>
      <c r="H588" s="359">
        <v>0</v>
      </c>
    </row>
    <row r="589" spans="1:9">
      <c r="A589" s="402" t="s">
        <v>1969</v>
      </c>
      <c r="B589" s="799">
        <v>315200200100000</v>
      </c>
      <c r="C589" s="320" t="s">
        <v>894</v>
      </c>
      <c r="D589" s="329"/>
      <c r="E589" s="335">
        <f t="shared" si="9"/>
        <v>52600.58</v>
      </c>
      <c r="F589" s="355">
        <v>52600.58</v>
      </c>
      <c r="G589" s="355"/>
      <c r="H589" s="335">
        <v>24680.240000000002</v>
      </c>
      <c r="I589" s="217"/>
    </row>
    <row r="590" spans="1:9">
      <c r="A590" s="402" t="s">
        <v>1969</v>
      </c>
      <c r="B590" s="799">
        <v>315200200200000</v>
      </c>
      <c r="C590" s="320" t="s">
        <v>895</v>
      </c>
      <c r="D590" s="329"/>
      <c r="E590" s="335">
        <f t="shared" si="9"/>
        <v>25785.91</v>
      </c>
      <c r="F590" s="354">
        <v>25785.91</v>
      </c>
      <c r="G590" s="354"/>
      <c r="H590" s="335">
        <v>28850.31</v>
      </c>
      <c r="I590" s="217"/>
    </row>
    <row r="591" spans="1:9">
      <c r="A591" s="402" t="s">
        <v>1969</v>
      </c>
      <c r="B591" s="799">
        <v>315200200300000</v>
      </c>
      <c r="C591" s="320" t="s">
        <v>896</v>
      </c>
      <c r="D591" s="329"/>
      <c r="E591" s="335">
        <f t="shared" si="9"/>
        <v>0</v>
      </c>
      <c r="F591" s="354"/>
      <c r="G591" s="354"/>
      <c r="H591" s="335">
        <v>0</v>
      </c>
      <c r="I591" s="217"/>
    </row>
    <row r="592" spans="1:9">
      <c r="A592" s="402" t="s">
        <v>1969</v>
      </c>
      <c r="B592" s="799">
        <v>315200200900000</v>
      </c>
      <c r="C592" s="320" t="s">
        <v>897</v>
      </c>
      <c r="D592" s="329"/>
      <c r="E592" s="335">
        <f t="shared" si="9"/>
        <v>46.97</v>
      </c>
      <c r="F592" s="354">
        <v>46.97</v>
      </c>
      <c r="G592" s="354"/>
      <c r="H592" s="335">
        <v>1490.82</v>
      </c>
      <c r="I592" s="217"/>
    </row>
    <row r="593" spans="1:9">
      <c r="A593" s="401" t="s">
        <v>1965</v>
      </c>
      <c r="B593" s="800" t="s">
        <v>898</v>
      </c>
      <c r="C593" s="317" t="s">
        <v>2286</v>
      </c>
      <c r="D593" s="328"/>
      <c r="E593" s="359"/>
      <c r="F593" s="359"/>
      <c r="G593" s="359"/>
      <c r="H593" s="359">
        <v>0</v>
      </c>
    </row>
    <row r="594" spans="1:9">
      <c r="A594" s="401" t="s">
        <v>1967</v>
      </c>
      <c r="B594" s="800" t="s">
        <v>899</v>
      </c>
      <c r="C594" s="317" t="s">
        <v>1598</v>
      </c>
      <c r="D594" s="328"/>
      <c r="E594" s="359"/>
      <c r="F594" s="359"/>
      <c r="G594" s="359"/>
      <c r="H594" s="359">
        <v>0</v>
      </c>
    </row>
    <row r="595" spans="1:9">
      <c r="A595" s="402" t="s">
        <v>1969</v>
      </c>
      <c r="B595" s="799">
        <v>315300100100000</v>
      </c>
      <c r="C595" s="320" t="s">
        <v>2287</v>
      </c>
      <c r="D595" s="329"/>
      <c r="E595" s="335">
        <f t="shared" si="9"/>
        <v>0</v>
      </c>
      <c r="F595" s="354"/>
      <c r="G595" s="354"/>
      <c r="H595" s="335">
        <v>0</v>
      </c>
      <c r="I595" s="217"/>
    </row>
    <row r="596" spans="1:9">
      <c r="A596" s="402" t="s">
        <v>1969</v>
      </c>
      <c r="B596" s="799">
        <v>315300100200000</v>
      </c>
      <c r="C596" s="320" t="s">
        <v>2288</v>
      </c>
      <c r="D596" s="329"/>
      <c r="E596" s="335">
        <f t="shared" si="9"/>
        <v>0</v>
      </c>
      <c r="F596" s="354"/>
      <c r="G596" s="354"/>
      <c r="H596" s="335">
        <v>0</v>
      </c>
      <c r="I596" s="217"/>
    </row>
    <row r="597" spans="1:9">
      <c r="A597" s="401" t="s">
        <v>1967</v>
      </c>
      <c r="B597" s="800" t="s">
        <v>900</v>
      </c>
      <c r="C597" s="317" t="s">
        <v>1599</v>
      </c>
      <c r="D597" s="328"/>
      <c r="E597" s="359"/>
      <c r="F597" s="359"/>
      <c r="G597" s="359"/>
      <c r="H597" s="359">
        <v>0</v>
      </c>
    </row>
    <row r="598" spans="1:9">
      <c r="A598" s="402" t="s">
        <v>1969</v>
      </c>
      <c r="B598" s="799">
        <v>315300200100000</v>
      </c>
      <c r="C598" s="320" t="s">
        <v>2289</v>
      </c>
      <c r="D598" s="329"/>
      <c r="E598" s="335">
        <f t="shared" si="9"/>
        <v>0</v>
      </c>
      <c r="F598" s="354"/>
      <c r="G598" s="354"/>
      <c r="H598" s="335">
        <v>0</v>
      </c>
      <c r="I598" s="217"/>
    </row>
    <row r="599" spans="1:9">
      <c r="A599" s="402" t="s">
        <v>1969</v>
      </c>
      <c r="B599" s="799">
        <v>315300200200000</v>
      </c>
      <c r="C599" s="320" t="s">
        <v>2290</v>
      </c>
      <c r="D599" s="329"/>
      <c r="E599" s="335">
        <f t="shared" si="9"/>
        <v>0</v>
      </c>
      <c r="F599" s="354"/>
      <c r="G599" s="354"/>
      <c r="H599" s="335">
        <v>0</v>
      </c>
      <c r="I599" s="217"/>
    </row>
    <row r="600" spans="1:9">
      <c r="A600" s="401" t="s">
        <v>1965</v>
      </c>
      <c r="B600" s="800" t="s">
        <v>902</v>
      </c>
      <c r="C600" s="317" t="s">
        <v>1600</v>
      </c>
      <c r="D600" s="328"/>
      <c r="E600" s="359"/>
      <c r="F600" s="359"/>
      <c r="G600" s="359"/>
      <c r="H600" s="359">
        <v>0</v>
      </c>
    </row>
    <row r="601" spans="1:9">
      <c r="A601" s="402" t="s">
        <v>1967</v>
      </c>
      <c r="B601" s="799">
        <v>315350000000000</v>
      </c>
      <c r="C601" s="320" t="s">
        <v>901</v>
      </c>
      <c r="D601" s="329"/>
      <c r="E601" s="335">
        <f t="shared" si="9"/>
        <v>0</v>
      </c>
      <c r="F601" s="354"/>
      <c r="G601" s="354"/>
      <c r="H601" s="335">
        <v>0</v>
      </c>
      <c r="I601" s="217"/>
    </row>
    <row r="602" spans="1:9" ht="25.5">
      <c r="A602" s="401" t="s">
        <v>1965</v>
      </c>
      <c r="B602" s="800" t="s">
        <v>904</v>
      </c>
      <c r="C602" s="317" t="s">
        <v>1601</v>
      </c>
      <c r="D602" s="328" t="s">
        <v>1248</v>
      </c>
      <c r="E602" s="359"/>
      <c r="F602" s="359"/>
      <c r="G602" s="359"/>
      <c r="H602" s="359">
        <v>0</v>
      </c>
    </row>
    <row r="603" spans="1:9" ht="24">
      <c r="A603" s="402" t="s">
        <v>1967</v>
      </c>
      <c r="B603" s="799">
        <v>315400000000000</v>
      </c>
      <c r="C603" s="320" t="s">
        <v>903</v>
      </c>
      <c r="D603" s="329" t="s">
        <v>1248</v>
      </c>
      <c r="E603" s="335">
        <f t="shared" si="9"/>
        <v>0</v>
      </c>
      <c r="F603" s="354"/>
      <c r="G603" s="354"/>
      <c r="H603" s="335">
        <v>0</v>
      </c>
      <c r="I603" s="217"/>
    </row>
    <row r="604" spans="1:9">
      <c r="A604" s="401" t="s">
        <v>1963</v>
      </c>
      <c r="B604" s="800" t="s">
        <v>1602</v>
      </c>
      <c r="C604" s="317" t="s">
        <v>1603</v>
      </c>
      <c r="D604" s="328"/>
      <c r="E604" s="359"/>
      <c r="F604" s="359"/>
      <c r="G604" s="359"/>
      <c r="H604" s="359"/>
    </row>
    <row r="605" spans="1:9">
      <c r="A605" s="401">
        <v>4</v>
      </c>
      <c r="B605" s="800" t="s">
        <v>905</v>
      </c>
      <c r="C605" s="317" t="s">
        <v>2291</v>
      </c>
      <c r="D605" s="328"/>
      <c r="E605" s="359"/>
      <c r="F605" s="359"/>
      <c r="G605" s="359"/>
      <c r="H605" s="359">
        <v>0</v>
      </c>
    </row>
    <row r="606" spans="1:9">
      <c r="A606" s="401">
        <v>5</v>
      </c>
      <c r="B606" s="800" t="s">
        <v>906</v>
      </c>
      <c r="C606" s="317" t="s">
        <v>1605</v>
      </c>
      <c r="D606" s="328"/>
      <c r="E606" s="359"/>
      <c r="F606" s="359"/>
      <c r="G606" s="359"/>
      <c r="H606" s="359">
        <v>0</v>
      </c>
    </row>
    <row r="607" spans="1:9">
      <c r="A607" s="401">
        <v>6</v>
      </c>
      <c r="B607" s="800" t="s">
        <v>907</v>
      </c>
      <c r="C607" s="317" t="s">
        <v>1606</v>
      </c>
      <c r="D607" s="328"/>
      <c r="E607" s="359"/>
      <c r="F607" s="359"/>
      <c r="G607" s="359"/>
      <c r="H607" s="359">
        <v>0</v>
      </c>
    </row>
    <row r="608" spans="1:9" ht="25.5">
      <c r="A608" s="401">
        <v>7</v>
      </c>
      <c r="B608" s="800" t="s">
        <v>908</v>
      </c>
      <c r="C608" s="317" t="s">
        <v>1607</v>
      </c>
      <c r="D608" s="328"/>
      <c r="E608" s="359"/>
      <c r="F608" s="359"/>
      <c r="G608" s="359"/>
      <c r="H608" s="359">
        <v>0</v>
      </c>
    </row>
    <row r="609" spans="1:9" ht="24">
      <c r="A609" s="402">
        <v>8</v>
      </c>
      <c r="B609" s="799">
        <v>320100100101000</v>
      </c>
      <c r="C609" s="320" t="s">
        <v>2292</v>
      </c>
      <c r="D609" s="329"/>
      <c r="E609" s="335">
        <f t="shared" si="9"/>
        <v>293065.90999999997</v>
      </c>
      <c r="F609" s="354">
        <v>293065.90999999997</v>
      </c>
      <c r="G609" s="354"/>
      <c r="H609" s="335">
        <v>127063.16</v>
      </c>
      <c r="I609" s="217"/>
    </row>
    <row r="610" spans="1:9" ht="24">
      <c r="A610" s="402">
        <v>8</v>
      </c>
      <c r="B610" s="799">
        <v>320100100102000</v>
      </c>
      <c r="C610" s="320" t="s">
        <v>2293</v>
      </c>
      <c r="D610" s="329"/>
      <c r="E610" s="335">
        <f t="shared" si="9"/>
        <v>109544.85</v>
      </c>
      <c r="F610" s="354">
        <v>109544.85</v>
      </c>
      <c r="G610" s="354"/>
      <c r="H610" s="335">
        <v>51207.27</v>
      </c>
      <c r="I610" s="217"/>
    </row>
    <row r="611" spans="1:9" ht="24">
      <c r="A611" s="402">
        <v>8</v>
      </c>
      <c r="B611" s="799">
        <v>320100100103000</v>
      </c>
      <c r="C611" s="320" t="s">
        <v>2294</v>
      </c>
      <c r="D611" s="329"/>
      <c r="E611" s="335">
        <f t="shared" si="9"/>
        <v>124544.17</v>
      </c>
      <c r="F611" s="354">
        <v>124544.17</v>
      </c>
      <c r="G611" s="354"/>
      <c r="H611" s="335">
        <v>26525.62</v>
      </c>
      <c r="I611" s="217"/>
    </row>
    <row r="612" spans="1:9" ht="24">
      <c r="A612" s="402">
        <v>8</v>
      </c>
      <c r="B612" s="799">
        <v>320100100104000</v>
      </c>
      <c r="C612" s="320" t="s">
        <v>2295</v>
      </c>
      <c r="D612" s="329"/>
      <c r="E612" s="335">
        <f t="shared" si="9"/>
        <v>0</v>
      </c>
      <c r="F612" s="354"/>
      <c r="G612" s="354"/>
      <c r="H612" s="335">
        <v>0</v>
      </c>
      <c r="I612" s="217"/>
    </row>
    <row r="613" spans="1:9" ht="24">
      <c r="A613" s="402">
        <v>8</v>
      </c>
      <c r="B613" s="799">
        <v>320100100105000</v>
      </c>
      <c r="C613" s="320" t="s">
        <v>2296</v>
      </c>
      <c r="D613" s="329"/>
      <c r="E613" s="335">
        <f t="shared" si="9"/>
        <v>0</v>
      </c>
      <c r="F613" s="354"/>
      <c r="G613" s="354"/>
      <c r="H613" s="335">
        <v>0</v>
      </c>
      <c r="I613" s="217"/>
    </row>
    <row r="614" spans="1:9" ht="24">
      <c r="A614" s="402">
        <v>8</v>
      </c>
      <c r="B614" s="799">
        <v>320100100106000</v>
      </c>
      <c r="C614" s="320" t="s">
        <v>2297</v>
      </c>
      <c r="D614" s="329"/>
      <c r="E614" s="335">
        <f t="shared" si="9"/>
        <v>0</v>
      </c>
      <c r="F614" s="354"/>
      <c r="G614" s="354"/>
      <c r="H614" s="335">
        <v>0</v>
      </c>
      <c r="I614" s="217"/>
    </row>
    <row r="615" spans="1:9" ht="24">
      <c r="A615" s="402">
        <v>8</v>
      </c>
      <c r="B615" s="799">
        <v>320100100107000</v>
      </c>
      <c r="C615" s="320" t="s">
        <v>2298</v>
      </c>
      <c r="D615" s="329"/>
      <c r="E615" s="335">
        <f t="shared" si="9"/>
        <v>0</v>
      </c>
      <c r="F615" s="354"/>
      <c r="G615" s="354"/>
      <c r="H615" s="335">
        <v>0</v>
      </c>
      <c r="I615" s="217"/>
    </row>
    <row r="616" spans="1:9" ht="24">
      <c r="A616" s="402">
        <v>8</v>
      </c>
      <c r="B616" s="799">
        <v>320100100109000</v>
      </c>
      <c r="C616" s="320" t="s">
        <v>2299</v>
      </c>
      <c r="D616" s="329"/>
      <c r="E616" s="335">
        <f t="shared" si="9"/>
        <v>139405.85999999999</v>
      </c>
      <c r="F616" s="354">
        <v>139405.85999999999</v>
      </c>
      <c r="G616" s="354"/>
      <c r="H616" s="335">
        <v>59379.41</v>
      </c>
      <c r="I616" s="217"/>
    </row>
    <row r="617" spans="1:9" ht="25.5">
      <c r="A617" s="401">
        <v>7</v>
      </c>
      <c r="B617" s="800" t="s">
        <v>909</v>
      </c>
      <c r="C617" s="317" t="s">
        <v>2300</v>
      </c>
      <c r="D617" s="328"/>
      <c r="E617" s="359"/>
      <c r="F617" s="359"/>
      <c r="G617" s="359"/>
      <c r="H617" s="359">
        <v>0</v>
      </c>
    </row>
    <row r="618" spans="1:9" ht="24">
      <c r="A618" s="402">
        <v>8</v>
      </c>
      <c r="B618" s="799">
        <v>320100100201000</v>
      </c>
      <c r="C618" s="320" t="s">
        <v>2301</v>
      </c>
      <c r="D618" s="329"/>
      <c r="E618" s="335">
        <f t="shared" si="9"/>
        <v>15020.49</v>
      </c>
      <c r="F618" s="354">
        <v>15020.49</v>
      </c>
      <c r="G618" s="354"/>
      <c r="H618" s="335">
        <v>0</v>
      </c>
      <c r="I618" s="217"/>
    </row>
    <row r="619" spans="1:9" ht="24">
      <c r="A619" s="402">
        <v>8</v>
      </c>
      <c r="B619" s="799">
        <v>320100100202000</v>
      </c>
      <c r="C619" s="320" t="s">
        <v>2302</v>
      </c>
      <c r="D619" s="329"/>
      <c r="E619" s="335">
        <f t="shared" si="9"/>
        <v>4987.71</v>
      </c>
      <c r="F619" s="354">
        <v>4987.71</v>
      </c>
      <c r="G619" s="354"/>
      <c r="H619" s="335">
        <v>0</v>
      </c>
      <c r="I619" s="217"/>
    </row>
    <row r="620" spans="1:9" ht="24">
      <c r="A620" s="402">
        <v>8</v>
      </c>
      <c r="B620" s="799">
        <v>320100100203000</v>
      </c>
      <c r="C620" s="320" t="s">
        <v>2303</v>
      </c>
      <c r="D620" s="329"/>
      <c r="E620" s="335">
        <f t="shared" si="9"/>
        <v>3735</v>
      </c>
      <c r="F620" s="354">
        <v>3735</v>
      </c>
      <c r="G620" s="354"/>
      <c r="H620" s="335">
        <v>0</v>
      </c>
      <c r="I620" s="217"/>
    </row>
    <row r="621" spans="1:9" ht="24">
      <c r="A621" s="402">
        <v>8</v>
      </c>
      <c r="B621" s="799">
        <v>320100100204000</v>
      </c>
      <c r="C621" s="320" t="s">
        <v>2304</v>
      </c>
      <c r="D621" s="329"/>
      <c r="E621" s="335">
        <f t="shared" si="9"/>
        <v>0</v>
      </c>
      <c r="F621" s="354"/>
      <c r="G621" s="354"/>
      <c r="H621" s="335">
        <v>0</v>
      </c>
      <c r="I621" s="217"/>
    </row>
    <row r="622" spans="1:9" ht="24">
      <c r="A622" s="402">
        <v>8</v>
      </c>
      <c r="B622" s="799">
        <v>320100100205000</v>
      </c>
      <c r="C622" s="320" t="s">
        <v>2305</v>
      </c>
      <c r="D622" s="329"/>
      <c r="E622" s="335">
        <f t="shared" si="9"/>
        <v>0</v>
      </c>
      <c r="F622" s="354"/>
      <c r="G622" s="354"/>
      <c r="H622" s="335">
        <v>0</v>
      </c>
      <c r="I622" s="217"/>
    </row>
    <row r="623" spans="1:9" ht="24">
      <c r="A623" s="402">
        <v>8</v>
      </c>
      <c r="B623" s="799">
        <v>320100100206000</v>
      </c>
      <c r="C623" s="320" t="s">
        <v>2306</v>
      </c>
      <c r="D623" s="329"/>
      <c r="E623" s="335">
        <f t="shared" si="9"/>
        <v>0</v>
      </c>
      <c r="F623" s="354"/>
      <c r="G623" s="354"/>
      <c r="H623" s="335">
        <v>0</v>
      </c>
      <c r="I623" s="217"/>
    </row>
    <row r="624" spans="1:9">
      <c r="A624" s="402">
        <v>8</v>
      </c>
      <c r="B624" s="799">
        <v>320100100207000</v>
      </c>
      <c r="C624" s="320" t="s">
        <v>2307</v>
      </c>
      <c r="D624" s="329"/>
      <c r="E624" s="335">
        <f t="shared" si="9"/>
        <v>0</v>
      </c>
      <c r="F624" s="354"/>
      <c r="G624" s="354"/>
      <c r="H624" s="335">
        <v>0</v>
      </c>
      <c r="I624" s="217"/>
    </row>
    <row r="625" spans="1:9" ht="24">
      <c r="A625" s="402">
        <v>8</v>
      </c>
      <c r="B625" s="799">
        <v>320100100209000</v>
      </c>
      <c r="C625" s="320" t="s">
        <v>2308</v>
      </c>
      <c r="D625" s="329"/>
      <c r="E625" s="335">
        <f t="shared" si="9"/>
        <v>7043.83</v>
      </c>
      <c r="F625" s="354">
        <v>7043.83</v>
      </c>
      <c r="G625" s="354"/>
      <c r="H625" s="335">
        <v>0</v>
      </c>
      <c r="I625" s="217"/>
    </row>
    <row r="626" spans="1:9">
      <c r="A626" s="401">
        <v>7</v>
      </c>
      <c r="B626" s="800" t="s">
        <v>911</v>
      </c>
      <c r="C626" s="317" t="s">
        <v>1609</v>
      </c>
      <c r="D626" s="328"/>
      <c r="E626" s="359"/>
      <c r="F626" s="359"/>
      <c r="G626" s="359"/>
      <c r="H626" s="359">
        <v>0</v>
      </c>
    </row>
    <row r="627" spans="1:9">
      <c r="A627" s="402">
        <v>8</v>
      </c>
      <c r="B627" s="799">
        <v>320100100300000</v>
      </c>
      <c r="C627" s="320" t="s">
        <v>910</v>
      </c>
      <c r="D627" s="329"/>
      <c r="E627" s="335">
        <f t="shared" si="9"/>
        <v>0</v>
      </c>
      <c r="F627" s="354"/>
      <c r="G627" s="354"/>
      <c r="H627" s="335">
        <v>0</v>
      </c>
      <c r="I627" s="217"/>
    </row>
    <row r="628" spans="1:9">
      <c r="A628" s="401">
        <v>6</v>
      </c>
      <c r="B628" s="800" t="s">
        <v>912</v>
      </c>
      <c r="C628" s="317" t="s">
        <v>1610</v>
      </c>
      <c r="D628" s="328"/>
      <c r="E628" s="359"/>
      <c r="F628" s="359"/>
      <c r="G628" s="359"/>
      <c r="H628" s="359">
        <v>0</v>
      </c>
    </row>
    <row r="629" spans="1:9" ht="25.5">
      <c r="A629" s="401">
        <v>7</v>
      </c>
      <c r="B629" s="800" t="s">
        <v>913</v>
      </c>
      <c r="C629" s="317" t="s">
        <v>2309</v>
      </c>
      <c r="D629" s="328"/>
      <c r="E629" s="359"/>
      <c r="F629" s="359"/>
      <c r="G629" s="359"/>
      <c r="H629" s="359">
        <v>0</v>
      </c>
    </row>
    <row r="630" spans="1:9" ht="24">
      <c r="A630" s="402">
        <v>8</v>
      </c>
      <c r="B630" s="799">
        <v>320100200101000</v>
      </c>
      <c r="C630" s="320" t="s">
        <v>2310</v>
      </c>
      <c r="D630" s="329"/>
      <c r="E630" s="335">
        <f t="shared" si="9"/>
        <v>431300.85</v>
      </c>
      <c r="F630" s="354">
        <v>431300.85</v>
      </c>
      <c r="G630" s="354"/>
      <c r="H630" s="335">
        <v>430476.73</v>
      </c>
      <c r="I630" s="217"/>
    </row>
    <row r="631" spans="1:9" ht="24">
      <c r="A631" s="402">
        <v>8</v>
      </c>
      <c r="B631" s="799">
        <v>320100200102000</v>
      </c>
      <c r="C631" s="320" t="s">
        <v>2311</v>
      </c>
      <c r="D631" s="329"/>
      <c r="E631" s="335">
        <f t="shared" si="9"/>
        <v>67531.960000000006</v>
      </c>
      <c r="F631" s="354">
        <v>67531.960000000006</v>
      </c>
      <c r="G631" s="354"/>
      <c r="H631" s="335">
        <v>97007.05</v>
      </c>
      <c r="I631" s="217"/>
    </row>
    <row r="632" spans="1:9" ht="24">
      <c r="A632" s="402">
        <v>8</v>
      </c>
      <c r="B632" s="799">
        <v>320100200103000</v>
      </c>
      <c r="C632" s="320" t="s">
        <v>2312</v>
      </c>
      <c r="D632" s="329"/>
      <c r="E632" s="335">
        <f t="shared" si="9"/>
        <v>117069.17</v>
      </c>
      <c r="F632" s="354">
        <v>117069.17</v>
      </c>
      <c r="G632" s="354"/>
      <c r="H632" s="335">
        <v>33748.800000000003</v>
      </c>
      <c r="I632" s="217"/>
    </row>
    <row r="633" spans="1:9" ht="24">
      <c r="A633" s="402">
        <v>8</v>
      </c>
      <c r="B633" s="799">
        <v>320100200104000</v>
      </c>
      <c r="C633" s="320" t="s">
        <v>2313</v>
      </c>
      <c r="D633" s="329"/>
      <c r="E633" s="335">
        <f t="shared" si="9"/>
        <v>0</v>
      </c>
      <c r="F633" s="354"/>
      <c r="G633" s="354"/>
      <c r="H633" s="335">
        <v>0</v>
      </c>
      <c r="I633" s="217"/>
    </row>
    <row r="634" spans="1:9" ht="24">
      <c r="A634" s="402">
        <v>8</v>
      </c>
      <c r="B634" s="799">
        <v>320100200105000</v>
      </c>
      <c r="C634" s="320" t="s">
        <v>2314</v>
      </c>
      <c r="D634" s="329"/>
      <c r="E634" s="335">
        <f t="shared" si="9"/>
        <v>0</v>
      </c>
      <c r="F634" s="354"/>
      <c r="G634" s="354"/>
      <c r="H634" s="335">
        <v>0</v>
      </c>
      <c r="I634" s="217"/>
    </row>
    <row r="635" spans="1:9" ht="24">
      <c r="A635" s="402">
        <v>8</v>
      </c>
      <c r="B635" s="799">
        <v>320100200106000</v>
      </c>
      <c r="C635" s="320" t="s">
        <v>2315</v>
      </c>
      <c r="D635" s="329"/>
      <c r="E635" s="335">
        <f t="shared" si="9"/>
        <v>0</v>
      </c>
      <c r="F635" s="354"/>
      <c r="G635" s="354"/>
      <c r="H635" s="335">
        <v>0</v>
      </c>
      <c r="I635" s="217"/>
    </row>
    <row r="636" spans="1:9" ht="24">
      <c r="A636" s="402">
        <v>8</v>
      </c>
      <c r="B636" s="799">
        <v>320100200107000</v>
      </c>
      <c r="C636" s="320" t="s">
        <v>2316</v>
      </c>
      <c r="D636" s="329"/>
      <c r="E636" s="335">
        <f t="shared" si="9"/>
        <v>178.56</v>
      </c>
      <c r="F636" s="354">
        <v>178.56</v>
      </c>
      <c r="G636" s="354"/>
      <c r="H636" s="335">
        <v>302.56</v>
      </c>
      <c r="I636" s="217"/>
    </row>
    <row r="637" spans="1:9" ht="24">
      <c r="A637" s="402">
        <v>8</v>
      </c>
      <c r="B637" s="799">
        <v>320100200109000</v>
      </c>
      <c r="C637" s="320" t="s">
        <v>2317</v>
      </c>
      <c r="D637" s="329"/>
      <c r="E637" s="335">
        <f t="shared" si="9"/>
        <v>168517.51</v>
      </c>
      <c r="F637" s="354">
        <v>168517.51</v>
      </c>
      <c r="G637" s="354"/>
      <c r="H637" s="335">
        <v>157493.17000000001</v>
      </c>
      <c r="I637" s="217"/>
    </row>
    <row r="638" spans="1:9" ht="25.5">
      <c r="A638" s="401">
        <v>7</v>
      </c>
      <c r="B638" s="800" t="s">
        <v>914</v>
      </c>
      <c r="C638" s="317" t="s">
        <v>2318</v>
      </c>
      <c r="D638" s="328"/>
      <c r="E638" s="359"/>
      <c r="F638" s="359"/>
      <c r="G638" s="359"/>
      <c r="H638" s="359">
        <v>0</v>
      </c>
    </row>
    <row r="639" spans="1:9" ht="24">
      <c r="A639" s="402">
        <v>8</v>
      </c>
      <c r="B639" s="799">
        <v>320100200201000</v>
      </c>
      <c r="C639" s="320" t="s">
        <v>2319</v>
      </c>
      <c r="D639" s="329"/>
      <c r="E639" s="335">
        <f t="shared" si="9"/>
        <v>47723.39</v>
      </c>
      <c r="F639" s="354">
        <v>47723.39</v>
      </c>
      <c r="G639" s="354"/>
      <c r="H639" s="335">
        <v>68569.66</v>
      </c>
      <c r="I639" s="217"/>
    </row>
    <row r="640" spans="1:9" ht="24">
      <c r="A640" s="402">
        <v>8</v>
      </c>
      <c r="B640" s="799">
        <v>320100200202000</v>
      </c>
      <c r="C640" s="320" t="s">
        <v>2320</v>
      </c>
      <c r="D640" s="329"/>
      <c r="E640" s="335">
        <f t="shared" si="9"/>
        <v>3001.31</v>
      </c>
      <c r="F640" s="354">
        <v>3001.31</v>
      </c>
      <c r="G640" s="354"/>
      <c r="H640" s="335">
        <v>4415.3500000000004</v>
      </c>
      <c r="I640" s="217"/>
    </row>
    <row r="641" spans="1:9" ht="24">
      <c r="A641" s="402">
        <v>8</v>
      </c>
      <c r="B641" s="799">
        <v>320100200203000</v>
      </c>
      <c r="C641" s="320" t="s">
        <v>2321</v>
      </c>
      <c r="D641" s="329"/>
      <c r="E641" s="335">
        <f t="shared" si="9"/>
        <v>3735</v>
      </c>
      <c r="F641" s="354">
        <v>3735</v>
      </c>
      <c r="G641" s="354"/>
      <c r="H641" s="335">
        <v>4422.22</v>
      </c>
      <c r="I641" s="217"/>
    </row>
    <row r="642" spans="1:9" ht="24">
      <c r="A642" s="402">
        <v>8</v>
      </c>
      <c r="B642" s="799">
        <v>320100200204000</v>
      </c>
      <c r="C642" s="320" t="s">
        <v>2322</v>
      </c>
      <c r="D642" s="329"/>
      <c r="E642" s="335">
        <f t="shared" si="9"/>
        <v>0</v>
      </c>
      <c r="F642" s="354"/>
      <c r="G642" s="354"/>
      <c r="H642" s="335">
        <v>0</v>
      </c>
      <c r="I642" s="217"/>
    </row>
    <row r="643" spans="1:9" ht="24">
      <c r="A643" s="402">
        <v>8</v>
      </c>
      <c r="B643" s="799">
        <v>320100200205000</v>
      </c>
      <c r="C643" s="320" t="s">
        <v>2323</v>
      </c>
      <c r="D643" s="329"/>
      <c r="E643" s="335">
        <f t="shared" si="9"/>
        <v>0</v>
      </c>
      <c r="F643" s="354"/>
      <c r="G643" s="354"/>
      <c r="H643" s="335">
        <v>0</v>
      </c>
      <c r="I643" s="217"/>
    </row>
    <row r="644" spans="1:9" ht="24">
      <c r="A644" s="402">
        <v>8</v>
      </c>
      <c r="B644" s="799">
        <v>320100200206000</v>
      </c>
      <c r="C644" s="320" t="s">
        <v>2324</v>
      </c>
      <c r="D644" s="329"/>
      <c r="E644" s="335">
        <f t="shared" si="9"/>
        <v>0</v>
      </c>
      <c r="F644" s="354"/>
      <c r="G644" s="354"/>
      <c r="H644" s="335">
        <v>0</v>
      </c>
      <c r="I644" s="217"/>
    </row>
    <row r="645" spans="1:9" ht="24">
      <c r="A645" s="402">
        <v>8</v>
      </c>
      <c r="B645" s="799">
        <v>320100200207000</v>
      </c>
      <c r="C645" s="320" t="s">
        <v>2325</v>
      </c>
      <c r="D645" s="329"/>
      <c r="E645" s="335">
        <f t="shared" si="9"/>
        <v>0</v>
      </c>
      <c r="F645" s="354"/>
      <c r="G645" s="354"/>
      <c r="H645" s="335">
        <v>0</v>
      </c>
      <c r="I645" s="217"/>
    </row>
    <row r="646" spans="1:9" ht="24">
      <c r="A646" s="402">
        <v>8</v>
      </c>
      <c r="B646" s="799">
        <v>320100200209000</v>
      </c>
      <c r="C646" s="320" t="s">
        <v>2326</v>
      </c>
      <c r="D646" s="329"/>
      <c r="E646" s="335">
        <f t="shared" si="9"/>
        <v>17177.060000000001</v>
      </c>
      <c r="F646" s="354">
        <v>17177.060000000001</v>
      </c>
      <c r="G646" s="354"/>
      <c r="H646" s="335">
        <v>23998.29</v>
      </c>
      <c r="I646" s="217"/>
    </row>
    <row r="647" spans="1:9">
      <c r="A647" s="401">
        <v>7</v>
      </c>
      <c r="B647" s="800" t="s">
        <v>915</v>
      </c>
      <c r="C647" s="317" t="s">
        <v>1613</v>
      </c>
      <c r="D647" s="328"/>
      <c r="E647" s="359"/>
      <c r="F647" s="359"/>
      <c r="G647" s="359"/>
      <c r="H647" s="359">
        <v>0</v>
      </c>
    </row>
    <row r="648" spans="1:9">
      <c r="A648" s="402">
        <v>8</v>
      </c>
      <c r="B648" s="799">
        <v>320100200300000</v>
      </c>
      <c r="C648" s="320" t="s">
        <v>2327</v>
      </c>
      <c r="D648" s="329"/>
      <c r="E648" s="335">
        <f t="shared" ref="E648:E737" si="10">+F648+G648</f>
        <v>0</v>
      </c>
      <c r="F648" s="354"/>
      <c r="G648" s="354"/>
      <c r="H648" s="335">
        <v>0</v>
      </c>
      <c r="I648" s="217"/>
    </row>
    <row r="649" spans="1:9">
      <c r="A649" s="401">
        <v>5</v>
      </c>
      <c r="B649" s="800" t="s">
        <v>916</v>
      </c>
      <c r="C649" s="317" t="s">
        <v>1614</v>
      </c>
      <c r="D649" s="328"/>
      <c r="E649" s="359"/>
      <c r="F649" s="359"/>
      <c r="G649" s="359"/>
      <c r="H649" s="359">
        <v>0</v>
      </c>
    </row>
    <row r="650" spans="1:9" ht="25.5">
      <c r="A650" s="401">
        <v>6</v>
      </c>
      <c r="B650" s="800" t="s">
        <v>917</v>
      </c>
      <c r="C650" s="317" t="s">
        <v>2328</v>
      </c>
      <c r="D650" s="328"/>
      <c r="E650" s="359"/>
      <c r="F650" s="359"/>
      <c r="G650" s="359"/>
      <c r="H650" s="359">
        <v>0</v>
      </c>
    </row>
    <row r="651" spans="1:9" ht="24">
      <c r="A651" s="403">
        <v>7</v>
      </c>
      <c r="B651" s="804">
        <v>3202001000000</v>
      </c>
      <c r="C651" s="323" t="s">
        <v>2602</v>
      </c>
      <c r="D651" s="330"/>
      <c r="E651" s="356"/>
      <c r="F651" s="356"/>
      <c r="G651" s="356"/>
      <c r="H651" s="356"/>
      <c r="I651" s="217"/>
    </row>
    <row r="652" spans="1:9" ht="24">
      <c r="A652" s="402">
        <v>8</v>
      </c>
      <c r="B652" s="799">
        <v>320200100100000</v>
      </c>
      <c r="C652" s="320" t="s">
        <v>2329</v>
      </c>
      <c r="D652" s="329"/>
      <c r="E652" s="335">
        <f t="shared" si="10"/>
        <v>1277007.6000000001</v>
      </c>
      <c r="F652" s="354">
        <v>1277007.6000000001</v>
      </c>
      <c r="G652" s="354"/>
      <c r="H652" s="335">
        <v>1171650.1100000001</v>
      </c>
      <c r="I652" s="217"/>
    </row>
    <row r="653" spans="1:9" ht="24">
      <c r="A653" s="403">
        <v>8</v>
      </c>
      <c r="B653" s="802">
        <v>3202001002000</v>
      </c>
      <c r="C653" s="323" t="s">
        <v>2330</v>
      </c>
      <c r="D653" s="330"/>
      <c r="E653" s="356"/>
      <c r="F653" s="356"/>
      <c r="G653" s="356"/>
      <c r="H653" s="356">
        <v>0</v>
      </c>
      <c r="I653" s="217"/>
    </row>
    <row r="654" spans="1:9" ht="24">
      <c r="A654" s="402">
        <v>9</v>
      </c>
      <c r="B654" s="799">
        <v>320200100201000</v>
      </c>
      <c r="C654" s="320" t="s">
        <v>2331</v>
      </c>
      <c r="D654" s="329"/>
      <c r="E654" s="335">
        <f t="shared" si="10"/>
        <v>16704.95</v>
      </c>
      <c r="F654" s="354">
        <v>16704.95</v>
      </c>
      <c r="G654" s="354"/>
      <c r="H654" s="335">
        <v>30952</v>
      </c>
      <c r="I654" s="217"/>
    </row>
    <row r="655" spans="1:9" ht="24">
      <c r="A655" s="402">
        <v>9</v>
      </c>
      <c r="B655" s="799">
        <v>320200100202000</v>
      </c>
      <c r="C655" s="320" t="s">
        <v>2332</v>
      </c>
      <c r="D655" s="329"/>
      <c r="E655" s="335">
        <f t="shared" si="10"/>
        <v>189752.65</v>
      </c>
      <c r="F655" s="354">
        <v>189752.65</v>
      </c>
      <c r="G655" s="354"/>
      <c r="H655" s="335">
        <v>141314.09</v>
      </c>
      <c r="I655" s="217"/>
    </row>
    <row r="656" spans="1:9" ht="24">
      <c r="A656" s="402">
        <v>9</v>
      </c>
      <c r="B656" s="799">
        <v>320200100203000</v>
      </c>
      <c r="C656" s="320" t="s">
        <v>2333</v>
      </c>
      <c r="D656" s="329"/>
      <c r="E656" s="335">
        <f t="shared" si="10"/>
        <v>221227</v>
      </c>
      <c r="F656" s="354">
        <v>221227</v>
      </c>
      <c r="G656" s="354"/>
      <c r="H656" s="335">
        <v>162687.14000000001</v>
      </c>
      <c r="I656" s="217"/>
    </row>
    <row r="657" spans="1:9" ht="24">
      <c r="A657" s="403">
        <v>8</v>
      </c>
      <c r="B657" s="802">
        <v>3202001003000</v>
      </c>
      <c r="C657" s="323" t="s">
        <v>2334</v>
      </c>
      <c r="D657" s="330"/>
      <c r="E657" s="356"/>
      <c r="F657" s="356"/>
      <c r="G657" s="356"/>
      <c r="H657" s="356">
        <v>0</v>
      </c>
      <c r="I657" s="217"/>
    </row>
    <row r="658" spans="1:9" ht="24">
      <c r="A658" s="402">
        <v>9</v>
      </c>
      <c r="B658" s="799">
        <v>320200100301000</v>
      </c>
      <c r="C658" s="320" t="s">
        <v>2335</v>
      </c>
      <c r="D658" s="329"/>
      <c r="E658" s="335">
        <f t="shared" si="10"/>
        <v>78977.14</v>
      </c>
      <c r="F658" s="354">
        <v>78977.14</v>
      </c>
      <c r="G658" s="354"/>
      <c r="H658" s="335">
        <v>46101.56</v>
      </c>
      <c r="I658" s="217"/>
    </row>
    <row r="659" spans="1:9" ht="24">
      <c r="A659" s="402">
        <v>9</v>
      </c>
      <c r="B659" s="799">
        <v>320200100302000</v>
      </c>
      <c r="C659" s="320" t="s">
        <v>2336</v>
      </c>
      <c r="D659" s="329"/>
      <c r="E659" s="335">
        <f t="shared" si="10"/>
        <v>94116.81</v>
      </c>
      <c r="F659" s="354">
        <v>94116.81</v>
      </c>
      <c r="G659" s="354"/>
      <c r="H659" s="335">
        <v>65304.83</v>
      </c>
      <c r="I659" s="217"/>
    </row>
    <row r="660" spans="1:9" ht="24">
      <c r="A660" s="402">
        <v>9</v>
      </c>
      <c r="B660" s="799">
        <v>320200100303000</v>
      </c>
      <c r="C660" s="320" t="s">
        <v>2337</v>
      </c>
      <c r="D660" s="329"/>
      <c r="E660" s="335">
        <f t="shared" si="10"/>
        <v>18881.16</v>
      </c>
      <c r="F660" s="354">
        <v>18881.16</v>
      </c>
      <c r="G660" s="354"/>
      <c r="H660" s="335">
        <v>64525.31</v>
      </c>
      <c r="I660" s="217"/>
    </row>
    <row r="661" spans="1:9" ht="24">
      <c r="A661" s="402">
        <v>9</v>
      </c>
      <c r="B661" s="799">
        <v>320200100400000</v>
      </c>
      <c r="C661" s="320" t="s">
        <v>2338</v>
      </c>
      <c r="D661" s="329"/>
      <c r="E661" s="335">
        <f t="shared" si="10"/>
        <v>0</v>
      </c>
      <c r="F661" s="354"/>
      <c r="G661" s="354"/>
      <c r="H661" s="335">
        <v>0</v>
      </c>
      <c r="I661" s="217"/>
    </row>
    <row r="662" spans="1:9" ht="24">
      <c r="A662" s="402">
        <v>9</v>
      </c>
      <c r="B662" s="799">
        <v>320200100500000</v>
      </c>
      <c r="C662" s="320" t="s">
        <v>2339</v>
      </c>
      <c r="D662" s="329"/>
      <c r="E662" s="335">
        <f t="shared" si="10"/>
        <v>0</v>
      </c>
      <c r="F662" s="354"/>
      <c r="G662" s="354"/>
      <c r="H662" s="335">
        <v>0</v>
      </c>
      <c r="I662" s="217"/>
    </row>
    <row r="663" spans="1:9" ht="24">
      <c r="A663" s="402">
        <v>9</v>
      </c>
      <c r="B663" s="799">
        <v>320200100600000</v>
      </c>
      <c r="C663" s="320" t="s">
        <v>2340</v>
      </c>
      <c r="D663" s="329"/>
      <c r="E663" s="335">
        <f t="shared" si="10"/>
        <v>50.21</v>
      </c>
      <c r="F663" s="354">
        <v>50.21</v>
      </c>
      <c r="G663" s="354"/>
      <c r="H663" s="335">
        <v>0</v>
      </c>
      <c r="I663" s="217"/>
    </row>
    <row r="664" spans="1:9" ht="24">
      <c r="A664" s="402">
        <v>9</v>
      </c>
      <c r="B664" s="799">
        <v>320200100900000</v>
      </c>
      <c r="C664" s="320" t="s">
        <v>2341</v>
      </c>
      <c r="D664" s="329"/>
      <c r="E664" s="335">
        <f t="shared" si="10"/>
        <v>579396.93000000005</v>
      </c>
      <c r="F664" s="354">
        <v>579396.93000000005</v>
      </c>
      <c r="G664" s="354"/>
      <c r="H664" s="335">
        <v>511310.01</v>
      </c>
      <c r="I664" s="217"/>
    </row>
    <row r="665" spans="1:9" ht="24">
      <c r="A665" s="403">
        <v>7</v>
      </c>
      <c r="B665" s="802">
        <v>3202001010000</v>
      </c>
      <c r="C665" s="323" t="s">
        <v>2603</v>
      </c>
      <c r="D665" s="330"/>
      <c r="E665" s="356"/>
      <c r="F665" s="356"/>
      <c r="G665" s="356"/>
      <c r="H665" s="356"/>
      <c r="I665" s="217"/>
    </row>
    <row r="666" spans="1:9" ht="24">
      <c r="A666" s="402">
        <v>8</v>
      </c>
      <c r="B666" s="801">
        <v>32020010110000</v>
      </c>
      <c r="C666" s="320" t="s">
        <v>2604</v>
      </c>
      <c r="D666" s="329"/>
      <c r="E666" s="335"/>
      <c r="F666" s="354"/>
      <c r="G666" s="354"/>
      <c r="H666" s="335"/>
      <c r="I666" s="217"/>
    </row>
    <row r="667" spans="1:9" ht="24">
      <c r="A667" s="403">
        <v>8</v>
      </c>
      <c r="B667" s="802">
        <v>3202001012000</v>
      </c>
      <c r="C667" s="323" t="s">
        <v>2605</v>
      </c>
      <c r="D667" s="330"/>
      <c r="E667" s="356"/>
      <c r="F667" s="356"/>
      <c r="G667" s="356"/>
      <c r="H667" s="356"/>
      <c r="I667" s="217"/>
    </row>
    <row r="668" spans="1:9" ht="24">
      <c r="A668" s="402">
        <v>9</v>
      </c>
      <c r="B668" s="801">
        <v>320200101201000</v>
      </c>
      <c r="C668" s="320" t="s">
        <v>2606</v>
      </c>
      <c r="D668" s="329"/>
      <c r="E668" s="335"/>
      <c r="F668" s="354"/>
      <c r="G668" s="354"/>
      <c r="H668" s="335"/>
      <c r="I668" s="217"/>
    </row>
    <row r="669" spans="1:9" ht="24">
      <c r="A669" s="402">
        <v>9</v>
      </c>
      <c r="B669" s="801">
        <v>320200101202000</v>
      </c>
      <c r="C669" s="320" t="s">
        <v>2607</v>
      </c>
      <c r="D669" s="329"/>
      <c r="E669" s="335"/>
      <c r="F669" s="354"/>
      <c r="G669" s="354"/>
      <c r="H669" s="335"/>
      <c r="I669" s="217"/>
    </row>
    <row r="670" spans="1:9">
      <c r="A670" s="402">
        <v>9</v>
      </c>
      <c r="B670" s="801">
        <v>320200101203000</v>
      </c>
      <c r="C670" s="320" t="s">
        <v>2608</v>
      </c>
      <c r="D670" s="329"/>
      <c r="E670" s="335"/>
      <c r="F670" s="354"/>
      <c r="G670" s="354"/>
      <c r="H670" s="335"/>
      <c r="I670" s="217"/>
    </row>
    <row r="671" spans="1:9" ht="24">
      <c r="A671" s="403">
        <v>8</v>
      </c>
      <c r="B671" s="802">
        <v>3202001013000</v>
      </c>
      <c r="C671" s="323" t="s">
        <v>2609</v>
      </c>
      <c r="D671" s="330"/>
      <c r="E671" s="356"/>
      <c r="F671" s="356"/>
      <c r="G671" s="356"/>
      <c r="H671" s="356"/>
      <c r="I671" s="217"/>
    </row>
    <row r="672" spans="1:9" ht="24">
      <c r="A672" s="402">
        <v>9</v>
      </c>
      <c r="B672" s="801">
        <v>320200101301000</v>
      </c>
      <c r="C672" s="320" t="s">
        <v>2610</v>
      </c>
      <c r="D672" s="329"/>
      <c r="E672" s="335"/>
      <c r="F672" s="354"/>
      <c r="G672" s="354"/>
      <c r="H672" s="335"/>
      <c r="I672" s="217"/>
    </row>
    <row r="673" spans="1:9" ht="24">
      <c r="A673" s="402">
        <v>9</v>
      </c>
      <c r="B673" s="801">
        <v>320200101302000</v>
      </c>
      <c r="C673" s="320" t="s">
        <v>2611</v>
      </c>
      <c r="D673" s="329"/>
      <c r="E673" s="335"/>
      <c r="F673" s="354"/>
      <c r="G673" s="354"/>
      <c r="H673" s="335"/>
      <c r="I673" s="217"/>
    </row>
    <row r="674" spans="1:9" ht="24">
      <c r="A674" s="402">
        <v>9</v>
      </c>
      <c r="B674" s="801">
        <v>320200101303000</v>
      </c>
      <c r="C674" s="320" t="s">
        <v>2612</v>
      </c>
      <c r="D674" s="329"/>
      <c r="E674" s="335"/>
      <c r="F674" s="354"/>
      <c r="G674" s="354"/>
      <c r="H674" s="335"/>
      <c r="I674" s="217"/>
    </row>
    <row r="675" spans="1:9" ht="24">
      <c r="A675" s="402">
        <v>8</v>
      </c>
      <c r="B675" s="801">
        <v>320200101400000</v>
      </c>
      <c r="C675" s="320" t="s">
        <v>2613</v>
      </c>
      <c r="D675" s="329"/>
      <c r="E675" s="335"/>
      <c r="F675" s="354"/>
      <c r="G675" s="354"/>
      <c r="H675" s="335"/>
      <c r="I675" s="217"/>
    </row>
    <row r="676" spans="1:9" ht="24">
      <c r="A676" s="402">
        <v>8</v>
      </c>
      <c r="B676" s="801">
        <v>320200101500000</v>
      </c>
      <c r="C676" s="320" t="s">
        <v>2614</v>
      </c>
      <c r="D676" s="329"/>
      <c r="E676" s="335"/>
      <c r="F676" s="354"/>
      <c r="G676" s="354"/>
      <c r="H676" s="335"/>
      <c r="I676" s="217"/>
    </row>
    <row r="677" spans="1:9" ht="24">
      <c r="A677" s="402">
        <v>8</v>
      </c>
      <c r="B677" s="801">
        <v>320200101600000</v>
      </c>
      <c r="C677" s="320" t="s">
        <v>2615</v>
      </c>
      <c r="D677" s="329"/>
      <c r="E677" s="335"/>
      <c r="F677" s="354"/>
      <c r="G677" s="354"/>
      <c r="H677" s="335"/>
      <c r="I677" s="217"/>
    </row>
    <row r="678" spans="1:9" ht="24">
      <c r="A678" s="402">
        <v>8</v>
      </c>
      <c r="B678" s="801">
        <v>320200101900000</v>
      </c>
      <c r="C678" s="320" t="s">
        <v>2616</v>
      </c>
      <c r="D678" s="329"/>
      <c r="E678" s="335"/>
      <c r="F678" s="354"/>
      <c r="G678" s="354"/>
      <c r="H678" s="335"/>
      <c r="I678" s="217"/>
    </row>
    <row r="679" spans="1:9" ht="24">
      <c r="A679" s="403">
        <v>7</v>
      </c>
      <c r="B679" s="802">
        <v>3202001020000</v>
      </c>
      <c r="C679" s="323" t="s">
        <v>2617</v>
      </c>
      <c r="D679" s="330"/>
      <c r="E679" s="356"/>
      <c r="F679" s="356"/>
      <c r="G679" s="356"/>
      <c r="H679" s="356"/>
      <c r="I679" s="217"/>
    </row>
    <row r="680" spans="1:9" ht="24">
      <c r="A680" s="402">
        <v>8</v>
      </c>
      <c r="B680" s="801">
        <v>320200102100000</v>
      </c>
      <c r="C680" s="320" t="s">
        <v>2618</v>
      </c>
      <c r="D680" s="329"/>
      <c r="E680" s="335"/>
      <c r="F680" s="354"/>
      <c r="G680" s="354"/>
      <c r="H680" s="335"/>
      <c r="I680" s="217"/>
    </row>
    <row r="681" spans="1:9" ht="24">
      <c r="A681" s="403">
        <v>8</v>
      </c>
      <c r="B681" s="802">
        <v>3202001022000</v>
      </c>
      <c r="C681" s="323" t="s">
        <v>2619</v>
      </c>
      <c r="D681" s="330"/>
      <c r="E681" s="356"/>
      <c r="F681" s="356"/>
      <c r="G681" s="356"/>
      <c r="H681" s="356"/>
      <c r="I681" s="217"/>
    </row>
    <row r="682" spans="1:9" ht="24">
      <c r="A682" s="402">
        <v>9</v>
      </c>
      <c r="B682" s="801">
        <v>320200102201000</v>
      </c>
      <c r="C682" s="320" t="s">
        <v>2620</v>
      </c>
      <c r="D682" s="329"/>
      <c r="E682" s="335"/>
      <c r="F682" s="354"/>
      <c r="G682" s="354"/>
      <c r="H682" s="335"/>
      <c r="I682" s="217"/>
    </row>
    <row r="683" spans="1:9" ht="24">
      <c r="A683" s="402">
        <v>9</v>
      </c>
      <c r="B683" s="801">
        <v>320200102202000</v>
      </c>
      <c r="C683" s="320" t="s">
        <v>2621</v>
      </c>
      <c r="D683" s="329"/>
      <c r="E683" s="335"/>
      <c r="F683" s="354"/>
      <c r="G683" s="354"/>
      <c r="H683" s="335"/>
      <c r="I683" s="217"/>
    </row>
    <row r="684" spans="1:9">
      <c r="A684" s="402">
        <v>9</v>
      </c>
      <c r="B684" s="801">
        <v>320200102203000</v>
      </c>
      <c r="C684" s="320" t="s">
        <v>2622</v>
      </c>
      <c r="D684" s="329"/>
      <c r="E684" s="335"/>
      <c r="F684" s="354"/>
      <c r="G684" s="354"/>
      <c r="H684" s="335"/>
      <c r="I684" s="217"/>
    </row>
    <row r="685" spans="1:9" ht="24">
      <c r="A685" s="403">
        <v>8</v>
      </c>
      <c r="B685" s="802">
        <v>3202001023000</v>
      </c>
      <c r="C685" s="323" t="s">
        <v>2623</v>
      </c>
      <c r="D685" s="330"/>
      <c r="E685" s="356"/>
      <c r="F685" s="356"/>
      <c r="G685" s="356"/>
      <c r="H685" s="356"/>
      <c r="I685" s="217"/>
    </row>
    <row r="686" spans="1:9" ht="24">
      <c r="A686" s="402">
        <v>9</v>
      </c>
      <c r="B686" s="801">
        <v>320200102301000</v>
      </c>
      <c r="C686" s="320" t="s">
        <v>2624</v>
      </c>
      <c r="D686" s="329"/>
      <c r="E686" s="335"/>
      <c r="F686" s="354"/>
      <c r="G686" s="354"/>
      <c r="H686" s="335"/>
      <c r="I686" s="217"/>
    </row>
    <row r="687" spans="1:9" ht="24">
      <c r="A687" s="402">
        <v>9</v>
      </c>
      <c r="B687" s="801">
        <v>320200102302000</v>
      </c>
      <c r="C687" s="320" t="s">
        <v>2625</v>
      </c>
      <c r="D687" s="329"/>
      <c r="E687" s="335"/>
      <c r="F687" s="354"/>
      <c r="G687" s="354"/>
      <c r="H687" s="335"/>
      <c r="I687" s="217"/>
    </row>
    <row r="688" spans="1:9" ht="24">
      <c r="A688" s="402">
        <v>9</v>
      </c>
      <c r="B688" s="801">
        <v>320200102303000</v>
      </c>
      <c r="C688" s="320" t="s">
        <v>2626</v>
      </c>
      <c r="D688" s="329"/>
      <c r="E688" s="335"/>
      <c r="F688" s="354"/>
      <c r="G688" s="354"/>
      <c r="H688" s="335"/>
      <c r="I688" s="217"/>
    </row>
    <row r="689" spans="1:9" ht="24">
      <c r="A689" s="402">
        <v>8</v>
      </c>
      <c r="B689" s="801">
        <v>320200102400000</v>
      </c>
      <c r="C689" s="320" t="s">
        <v>2627</v>
      </c>
      <c r="D689" s="329"/>
      <c r="E689" s="335"/>
      <c r="F689" s="354"/>
      <c r="G689" s="354"/>
      <c r="H689" s="335"/>
      <c r="I689" s="217"/>
    </row>
    <row r="690" spans="1:9" ht="24">
      <c r="A690" s="402">
        <v>8</v>
      </c>
      <c r="B690" s="801">
        <v>320200102500000</v>
      </c>
      <c r="C690" s="320" t="s">
        <v>2628</v>
      </c>
      <c r="D690" s="329"/>
      <c r="E690" s="335"/>
      <c r="F690" s="354"/>
      <c r="G690" s="354"/>
      <c r="H690" s="335"/>
      <c r="I690" s="217"/>
    </row>
    <row r="691" spans="1:9" ht="24">
      <c r="A691" s="402">
        <v>8</v>
      </c>
      <c r="B691" s="801">
        <v>320200102600000</v>
      </c>
      <c r="C691" s="320" t="s">
        <v>2629</v>
      </c>
      <c r="D691" s="329"/>
      <c r="E691" s="335"/>
      <c r="F691" s="354"/>
      <c r="G691" s="354"/>
      <c r="H691" s="335"/>
      <c r="I691" s="217"/>
    </row>
    <row r="692" spans="1:9" ht="24">
      <c r="A692" s="402">
        <v>8</v>
      </c>
      <c r="B692" s="801">
        <v>320200102900000</v>
      </c>
      <c r="C692" s="320" t="s">
        <v>2630</v>
      </c>
      <c r="D692" s="329"/>
      <c r="E692" s="335"/>
      <c r="F692" s="354"/>
      <c r="G692" s="354"/>
      <c r="H692" s="335"/>
      <c r="I692" s="217"/>
    </row>
    <row r="693" spans="1:9" ht="25.5">
      <c r="A693" s="401">
        <v>6</v>
      </c>
      <c r="B693" s="800" t="s">
        <v>918</v>
      </c>
      <c r="C693" s="317" t="s">
        <v>2342</v>
      </c>
      <c r="D693" s="328"/>
      <c r="E693" s="359"/>
      <c r="F693" s="359"/>
      <c r="G693" s="359"/>
      <c r="H693" s="359">
        <v>0</v>
      </c>
    </row>
    <row r="694" spans="1:9" ht="24">
      <c r="A694" s="403">
        <v>7</v>
      </c>
      <c r="B694" s="802">
        <v>3202002000000</v>
      </c>
      <c r="C694" s="323" t="s">
        <v>2343</v>
      </c>
      <c r="D694" s="330"/>
      <c r="E694" s="356"/>
      <c r="F694" s="356"/>
      <c r="G694" s="356"/>
      <c r="H694" s="356">
        <v>0</v>
      </c>
      <c r="I694" s="217"/>
    </row>
    <row r="695" spans="1:9" ht="24">
      <c r="A695" s="402">
        <v>8</v>
      </c>
      <c r="B695" s="801">
        <v>320200200100000</v>
      </c>
      <c r="C695" s="320" t="s">
        <v>2344</v>
      </c>
      <c r="D695" s="329"/>
      <c r="E695" s="335">
        <f t="shared" si="10"/>
        <v>8843.94</v>
      </c>
      <c r="F695" s="354">
        <v>8843.94</v>
      </c>
      <c r="G695" s="354"/>
      <c r="H695" s="335">
        <v>9951.51</v>
      </c>
      <c r="I695" s="217"/>
    </row>
    <row r="696" spans="1:9" ht="24">
      <c r="A696" s="403">
        <v>8</v>
      </c>
      <c r="B696" s="802">
        <v>3202002002000</v>
      </c>
      <c r="C696" s="323" t="s">
        <v>2345</v>
      </c>
      <c r="D696" s="330"/>
      <c r="E696" s="356"/>
      <c r="F696" s="356"/>
      <c r="G696" s="356"/>
      <c r="H696" s="356">
        <v>0</v>
      </c>
      <c r="I696" s="217"/>
    </row>
    <row r="697" spans="1:9" ht="24">
      <c r="A697" s="402">
        <v>9</v>
      </c>
      <c r="B697" s="799">
        <v>320200200201000</v>
      </c>
      <c r="C697" s="320" t="s">
        <v>2346</v>
      </c>
      <c r="D697" s="329"/>
      <c r="E697" s="335">
        <f t="shared" si="10"/>
        <v>1302.47</v>
      </c>
      <c r="F697" s="354">
        <v>1302.47</v>
      </c>
      <c r="G697" s="354"/>
      <c r="H697" s="335">
        <v>0</v>
      </c>
      <c r="I697" s="217"/>
    </row>
    <row r="698" spans="1:9" ht="24">
      <c r="A698" s="402">
        <v>9</v>
      </c>
      <c r="B698" s="799">
        <v>320200200202000</v>
      </c>
      <c r="C698" s="320" t="s">
        <v>2347</v>
      </c>
      <c r="D698" s="329"/>
      <c r="E698" s="335">
        <f t="shared" si="10"/>
        <v>1676.38</v>
      </c>
      <c r="F698" s="354">
        <v>1676.38</v>
      </c>
      <c r="G698" s="354"/>
      <c r="H698" s="335">
        <v>1336.39</v>
      </c>
      <c r="I698" s="217"/>
    </row>
    <row r="699" spans="1:9" ht="24">
      <c r="A699" s="402">
        <v>9</v>
      </c>
      <c r="B699" s="799">
        <v>320200200203000</v>
      </c>
      <c r="C699" s="320" t="s">
        <v>2348</v>
      </c>
      <c r="D699" s="329"/>
      <c r="E699" s="335">
        <f t="shared" si="10"/>
        <v>4282</v>
      </c>
      <c r="F699" s="354">
        <v>4282</v>
      </c>
      <c r="G699" s="354"/>
      <c r="H699" s="335">
        <v>2017.39</v>
      </c>
      <c r="I699" s="217"/>
    </row>
    <row r="700" spans="1:9" ht="24">
      <c r="A700" s="403">
        <v>8</v>
      </c>
      <c r="B700" s="802">
        <v>3202002003000</v>
      </c>
      <c r="C700" s="323" t="s">
        <v>2349</v>
      </c>
      <c r="D700" s="330"/>
      <c r="E700" s="356"/>
      <c r="F700" s="356"/>
      <c r="G700" s="356"/>
      <c r="H700" s="356">
        <v>0</v>
      </c>
      <c r="I700" s="217"/>
    </row>
    <row r="701" spans="1:9">
      <c r="A701" s="402">
        <v>9</v>
      </c>
      <c r="B701" s="799">
        <v>320200200301000</v>
      </c>
      <c r="C701" s="320" t="s">
        <v>2350</v>
      </c>
      <c r="D701" s="329"/>
      <c r="E701" s="335">
        <f t="shared" si="10"/>
        <v>333.23</v>
      </c>
      <c r="F701" s="354">
        <v>333.23</v>
      </c>
      <c r="G701" s="354"/>
      <c r="H701" s="335">
        <v>381.67</v>
      </c>
      <c r="I701" s="217"/>
    </row>
    <row r="702" spans="1:9" ht="24">
      <c r="A702" s="402">
        <v>9</v>
      </c>
      <c r="B702" s="799">
        <v>320200200302000</v>
      </c>
      <c r="C702" s="320" t="s">
        <v>2351</v>
      </c>
      <c r="D702" s="329"/>
      <c r="E702" s="335">
        <f t="shared" si="10"/>
        <v>0</v>
      </c>
      <c r="F702" s="354"/>
      <c r="G702" s="354"/>
      <c r="H702" s="335">
        <v>0</v>
      </c>
      <c r="I702" s="217"/>
    </row>
    <row r="703" spans="1:9" ht="24">
      <c r="A703" s="402">
        <v>9</v>
      </c>
      <c r="B703" s="799">
        <v>320200200303000</v>
      </c>
      <c r="C703" s="320" t="s">
        <v>2352</v>
      </c>
      <c r="D703" s="329"/>
      <c r="E703" s="335">
        <f t="shared" si="10"/>
        <v>137.05000000000001</v>
      </c>
      <c r="F703" s="354">
        <v>137.05000000000001</v>
      </c>
      <c r="G703" s="354"/>
      <c r="H703" s="335">
        <v>156.03</v>
      </c>
      <c r="I703" s="217"/>
    </row>
    <row r="704" spans="1:9" ht="24">
      <c r="A704" s="402">
        <v>9</v>
      </c>
      <c r="B704" s="799">
        <v>320200200400000</v>
      </c>
      <c r="C704" s="320" t="s">
        <v>2353</v>
      </c>
      <c r="D704" s="329"/>
      <c r="E704" s="335">
        <f t="shared" si="10"/>
        <v>0</v>
      </c>
      <c r="F704" s="354"/>
      <c r="G704" s="354"/>
      <c r="H704" s="335">
        <v>0</v>
      </c>
      <c r="I704" s="217"/>
    </row>
    <row r="705" spans="1:9" ht="24">
      <c r="A705" s="402">
        <v>9</v>
      </c>
      <c r="B705" s="799">
        <v>320200200500000</v>
      </c>
      <c r="C705" s="320" t="s">
        <v>2354</v>
      </c>
      <c r="D705" s="329"/>
      <c r="E705" s="335">
        <f t="shared" si="10"/>
        <v>0</v>
      </c>
      <c r="F705" s="354"/>
      <c r="G705" s="354"/>
      <c r="H705" s="335">
        <v>0</v>
      </c>
      <c r="I705" s="217"/>
    </row>
    <row r="706" spans="1:9" ht="24">
      <c r="A706" s="402">
        <v>9</v>
      </c>
      <c r="B706" s="799">
        <v>320200200600000</v>
      </c>
      <c r="C706" s="320" t="s">
        <v>2355</v>
      </c>
      <c r="D706" s="329"/>
      <c r="E706" s="335">
        <f t="shared" si="10"/>
        <v>0</v>
      </c>
      <c r="F706" s="354"/>
      <c r="G706" s="354"/>
      <c r="H706" s="335">
        <v>0</v>
      </c>
      <c r="I706" s="217"/>
    </row>
    <row r="707" spans="1:9" ht="24">
      <c r="A707" s="402">
        <v>9</v>
      </c>
      <c r="B707" s="799">
        <v>320200200900000</v>
      </c>
      <c r="C707" s="320" t="s">
        <v>2356</v>
      </c>
      <c r="D707" s="329"/>
      <c r="E707" s="335">
        <f t="shared" si="10"/>
        <v>4659.47</v>
      </c>
      <c r="F707" s="354">
        <v>4659.47</v>
      </c>
      <c r="G707" s="354"/>
      <c r="H707" s="335">
        <v>4188.29</v>
      </c>
      <c r="I707" s="217"/>
    </row>
    <row r="708" spans="1:9" ht="24">
      <c r="A708" s="403">
        <v>8</v>
      </c>
      <c r="B708" s="802">
        <v>3202002010000</v>
      </c>
      <c r="C708" s="323" t="s">
        <v>2357</v>
      </c>
      <c r="D708" s="330"/>
      <c r="E708" s="356"/>
      <c r="F708" s="356"/>
      <c r="G708" s="356"/>
      <c r="H708" s="356">
        <v>0</v>
      </c>
      <c r="I708" s="217"/>
    </row>
    <row r="709" spans="1:9" ht="24">
      <c r="A709" s="402">
        <v>9</v>
      </c>
      <c r="B709" s="799">
        <v>320200201100000</v>
      </c>
      <c r="C709" s="320" t="s">
        <v>2358</v>
      </c>
      <c r="D709" s="329"/>
      <c r="E709" s="335">
        <f t="shared" si="10"/>
        <v>0</v>
      </c>
      <c r="F709" s="354"/>
      <c r="G709" s="354"/>
      <c r="H709" s="335">
        <v>0</v>
      </c>
      <c r="I709" s="217"/>
    </row>
    <row r="710" spans="1:9" ht="24">
      <c r="A710" s="403">
        <v>8</v>
      </c>
      <c r="B710" s="802">
        <v>3202002012000</v>
      </c>
      <c r="C710" s="323" t="s">
        <v>2359</v>
      </c>
      <c r="D710" s="330"/>
      <c r="E710" s="356"/>
      <c r="F710" s="356"/>
      <c r="G710" s="356"/>
      <c r="H710" s="356">
        <v>0</v>
      </c>
      <c r="I710" s="217"/>
    </row>
    <row r="711" spans="1:9" ht="24">
      <c r="A711" s="402">
        <v>9</v>
      </c>
      <c r="B711" s="799">
        <v>320200201201000</v>
      </c>
      <c r="C711" s="320" t="s">
        <v>2360</v>
      </c>
      <c r="D711" s="329"/>
      <c r="E711" s="335">
        <f t="shared" si="10"/>
        <v>0</v>
      </c>
      <c r="F711" s="354"/>
      <c r="G711" s="354"/>
      <c r="H711" s="335">
        <v>0</v>
      </c>
      <c r="I711" s="217"/>
    </row>
    <row r="712" spans="1:9" ht="24">
      <c r="A712" s="402">
        <v>9</v>
      </c>
      <c r="B712" s="799">
        <v>320200201202000</v>
      </c>
      <c r="C712" s="320" t="s">
        <v>2361</v>
      </c>
      <c r="D712" s="329"/>
      <c r="E712" s="335">
        <f t="shared" si="10"/>
        <v>0</v>
      </c>
      <c r="F712" s="354"/>
      <c r="G712" s="354"/>
      <c r="H712" s="335">
        <v>0</v>
      </c>
      <c r="I712" s="217"/>
    </row>
    <row r="713" spans="1:9">
      <c r="A713" s="402">
        <v>9</v>
      </c>
      <c r="B713" s="799">
        <v>320200201203000</v>
      </c>
      <c r="C713" s="320" t="s">
        <v>2362</v>
      </c>
      <c r="D713" s="329"/>
      <c r="E713" s="335">
        <f t="shared" si="10"/>
        <v>0</v>
      </c>
      <c r="F713" s="354"/>
      <c r="G713" s="354"/>
      <c r="H713" s="335">
        <v>0</v>
      </c>
      <c r="I713" s="217"/>
    </row>
    <row r="714" spans="1:9" ht="24">
      <c r="A714" s="403">
        <v>8</v>
      </c>
      <c r="B714" s="802">
        <v>3202002013000</v>
      </c>
      <c r="C714" s="323" t="s">
        <v>2363</v>
      </c>
      <c r="D714" s="330"/>
      <c r="E714" s="356"/>
      <c r="F714" s="356"/>
      <c r="G714" s="356"/>
      <c r="H714" s="356">
        <v>0</v>
      </c>
      <c r="I714" s="217"/>
    </row>
    <row r="715" spans="1:9" ht="24">
      <c r="A715" s="402">
        <v>9</v>
      </c>
      <c r="B715" s="799">
        <v>320200201301000</v>
      </c>
      <c r="C715" s="320" t="s">
        <v>2364</v>
      </c>
      <c r="D715" s="329"/>
      <c r="E715" s="335">
        <f t="shared" si="10"/>
        <v>0</v>
      </c>
      <c r="F715" s="354"/>
      <c r="G715" s="354"/>
      <c r="H715" s="335">
        <v>0</v>
      </c>
      <c r="I715" s="217"/>
    </row>
    <row r="716" spans="1:9" ht="24">
      <c r="A716" s="402">
        <v>9</v>
      </c>
      <c r="B716" s="799">
        <v>320200201302000</v>
      </c>
      <c r="C716" s="320" t="s">
        <v>2365</v>
      </c>
      <c r="D716" s="329"/>
      <c r="E716" s="335">
        <f t="shared" si="10"/>
        <v>0</v>
      </c>
      <c r="F716" s="354"/>
      <c r="G716" s="354"/>
      <c r="H716" s="335">
        <v>0</v>
      </c>
      <c r="I716" s="217"/>
    </row>
    <row r="717" spans="1:9" ht="24">
      <c r="A717" s="402">
        <v>9</v>
      </c>
      <c r="B717" s="799">
        <v>320200201303000</v>
      </c>
      <c r="C717" s="320" t="s">
        <v>2366</v>
      </c>
      <c r="D717" s="329"/>
      <c r="E717" s="335">
        <f t="shared" si="10"/>
        <v>0</v>
      </c>
      <c r="F717" s="354"/>
      <c r="G717" s="354"/>
      <c r="H717" s="335">
        <v>0</v>
      </c>
      <c r="I717" s="217"/>
    </row>
    <row r="718" spans="1:9" ht="24">
      <c r="A718" s="402">
        <v>9</v>
      </c>
      <c r="B718" s="799">
        <v>320200201400000</v>
      </c>
      <c r="C718" s="320" t="s">
        <v>2367</v>
      </c>
      <c r="D718" s="329"/>
      <c r="E718" s="335">
        <f t="shared" si="10"/>
        <v>0</v>
      </c>
      <c r="F718" s="354"/>
      <c r="G718" s="354"/>
      <c r="H718" s="335">
        <v>0</v>
      </c>
      <c r="I718" s="217"/>
    </row>
    <row r="719" spans="1:9" ht="24">
      <c r="A719" s="402">
        <v>9</v>
      </c>
      <c r="B719" s="799">
        <v>320200201500000</v>
      </c>
      <c r="C719" s="320" t="s">
        <v>2368</v>
      </c>
      <c r="D719" s="329"/>
      <c r="E719" s="335">
        <f t="shared" si="10"/>
        <v>0</v>
      </c>
      <c r="F719" s="354"/>
      <c r="G719" s="354"/>
      <c r="H719" s="335">
        <v>0</v>
      </c>
      <c r="I719" s="217"/>
    </row>
    <row r="720" spans="1:9" ht="24">
      <c r="A720" s="402">
        <v>9</v>
      </c>
      <c r="B720" s="799">
        <v>320200201600000</v>
      </c>
      <c r="C720" s="320" t="s">
        <v>2369</v>
      </c>
      <c r="D720" s="329"/>
      <c r="E720" s="335">
        <f t="shared" si="10"/>
        <v>0</v>
      </c>
      <c r="F720" s="354"/>
      <c r="G720" s="354"/>
      <c r="H720" s="335">
        <v>0</v>
      </c>
      <c r="I720" s="217"/>
    </row>
    <row r="721" spans="1:9" ht="24">
      <c r="A721" s="402">
        <v>9</v>
      </c>
      <c r="B721" s="799">
        <v>320200201900000</v>
      </c>
      <c r="C721" s="320" t="s">
        <v>2370</v>
      </c>
      <c r="D721" s="329"/>
      <c r="E721" s="335">
        <f t="shared" si="10"/>
        <v>0</v>
      </c>
      <c r="F721" s="354"/>
      <c r="G721" s="354"/>
      <c r="H721" s="335">
        <v>0</v>
      </c>
      <c r="I721" s="217"/>
    </row>
    <row r="722" spans="1:9" ht="24">
      <c r="A722" s="403">
        <v>7</v>
      </c>
      <c r="B722" s="802">
        <v>3202002020000</v>
      </c>
      <c r="C722" s="323" t="s">
        <v>2371</v>
      </c>
      <c r="D722" s="330"/>
      <c r="E722" s="356"/>
      <c r="F722" s="356"/>
      <c r="G722" s="356"/>
      <c r="H722" s="356">
        <v>0</v>
      </c>
      <c r="I722" s="217"/>
    </row>
    <row r="723" spans="1:9" ht="24">
      <c r="A723" s="402">
        <v>8</v>
      </c>
      <c r="B723" s="799">
        <v>320200202100000</v>
      </c>
      <c r="C723" s="320" t="s">
        <v>2372</v>
      </c>
      <c r="D723" s="329"/>
      <c r="E723" s="335">
        <f t="shared" si="10"/>
        <v>0</v>
      </c>
      <c r="F723" s="354"/>
      <c r="G723" s="354"/>
      <c r="H723" s="335">
        <v>0</v>
      </c>
      <c r="I723" s="217"/>
    </row>
    <row r="724" spans="1:9" ht="24">
      <c r="A724" s="403">
        <v>8</v>
      </c>
      <c r="B724" s="802">
        <v>3202002022000</v>
      </c>
      <c r="C724" s="323" t="s">
        <v>2373</v>
      </c>
      <c r="D724" s="330"/>
      <c r="E724" s="356"/>
      <c r="F724" s="356"/>
      <c r="G724" s="356"/>
      <c r="H724" s="356">
        <v>0</v>
      </c>
      <c r="I724" s="217"/>
    </row>
    <row r="725" spans="1:9" ht="24">
      <c r="A725" s="402">
        <v>9</v>
      </c>
      <c r="B725" s="799">
        <v>320200202201000</v>
      </c>
      <c r="C725" s="320" t="s">
        <v>2374</v>
      </c>
      <c r="D725" s="329"/>
      <c r="E725" s="335">
        <f t="shared" si="10"/>
        <v>0</v>
      </c>
      <c r="F725" s="354"/>
      <c r="G725" s="354"/>
      <c r="H725" s="335">
        <v>0</v>
      </c>
      <c r="I725" s="217"/>
    </row>
    <row r="726" spans="1:9" ht="24">
      <c r="A726" s="402">
        <v>9</v>
      </c>
      <c r="B726" s="799">
        <v>320200202202000</v>
      </c>
      <c r="C726" s="320" t="s">
        <v>2375</v>
      </c>
      <c r="D726" s="329"/>
      <c r="E726" s="335">
        <f t="shared" si="10"/>
        <v>0</v>
      </c>
      <c r="F726" s="354"/>
      <c r="G726" s="354"/>
      <c r="H726" s="335">
        <v>0</v>
      </c>
      <c r="I726" s="217"/>
    </row>
    <row r="727" spans="1:9">
      <c r="A727" s="402">
        <v>9</v>
      </c>
      <c r="B727" s="799">
        <v>320200202203000</v>
      </c>
      <c r="C727" s="320" t="s">
        <v>2376</v>
      </c>
      <c r="D727" s="329"/>
      <c r="E727" s="335">
        <f t="shared" si="10"/>
        <v>0</v>
      </c>
      <c r="F727" s="354"/>
      <c r="G727" s="354"/>
      <c r="H727" s="335">
        <v>0</v>
      </c>
      <c r="I727" s="217"/>
    </row>
    <row r="728" spans="1:9" ht="24">
      <c r="A728" s="403">
        <v>8</v>
      </c>
      <c r="B728" s="802">
        <v>3202002023000</v>
      </c>
      <c r="C728" s="323" t="s">
        <v>2377</v>
      </c>
      <c r="D728" s="330"/>
      <c r="E728" s="356"/>
      <c r="F728" s="356"/>
      <c r="G728" s="356"/>
      <c r="H728" s="356">
        <v>0</v>
      </c>
      <c r="I728" s="217"/>
    </row>
    <row r="729" spans="1:9" ht="24">
      <c r="A729" s="402">
        <v>9</v>
      </c>
      <c r="B729" s="799">
        <v>320200202301000</v>
      </c>
      <c r="C729" s="320" t="s">
        <v>2378</v>
      </c>
      <c r="D729" s="329"/>
      <c r="E729" s="335">
        <f t="shared" si="10"/>
        <v>0</v>
      </c>
      <c r="F729" s="354"/>
      <c r="G729" s="354"/>
      <c r="H729" s="335">
        <v>0</v>
      </c>
      <c r="I729" s="217"/>
    </row>
    <row r="730" spans="1:9" ht="24">
      <c r="A730" s="402">
        <v>9</v>
      </c>
      <c r="B730" s="799">
        <v>320200202302000</v>
      </c>
      <c r="C730" s="320" t="s">
        <v>2379</v>
      </c>
      <c r="D730" s="329"/>
      <c r="E730" s="335">
        <f t="shared" si="10"/>
        <v>0</v>
      </c>
      <c r="F730" s="354"/>
      <c r="G730" s="354"/>
      <c r="H730" s="335">
        <v>0</v>
      </c>
      <c r="I730" s="217"/>
    </row>
    <row r="731" spans="1:9" ht="24">
      <c r="A731" s="402">
        <v>9</v>
      </c>
      <c r="B731" s="799">
        <v>320200202303000</v>
      </c>
      <c r="C731" s="320" t="s">
        <v>2380</v>
      </c>
      <c r="D731" s="329"/>
      <c r="E731" s="335">
        <f t="shared" si="10"/>
        <v>0</v>
      </c>
      <c r="F731" s="354"/>
      <c r="G731" s="354"/>
      <c r="H731" s="335">
        <v>0</v>
      </c>
      <c r="I731" s="217"/>
    </row>
    <row r="732" spans="1:9" ht="24">
      <c r="A732" s="402">
        <v>8</v>
      </c>
      <c r="B732" s="799">
        <v>320200202400000</v>
      </c>
      <c r="C732" s="320" t="s">
        <v>2381</v>
      </c>
      <c r="D732" s="329"/>
      <c r="E732" s="335">
        <f t="shared" si="10"/>
        <v>0</v>
      </c>
      <c r="F732" s="354"/>
      <c r="G732" s="354"/>
      <c r="H732" s="335">
        <v>0</v>
      </c>
      <c r="I732" s="217"/>
    </row>
    <row r="733" spans="1:9" ht="24">
      <c r="A733" s="402">
        <v>8</v>
      </c>
      <c r="B733" s="799">
        <v>320200202500000</v>
      </c>
      <c r="C733" s="320" t="s">
        <v>2382</v>
      </c>
      <c r="D733" s="329"/>
      <c r="E733" s="335">
        <f t="shared" si="10"/>
        <v>0</v>
      </c>
      <c r="F733" s="354"/>
      <c r="G733" s="354"/>
      <c r="H733" s="335">
        <v>0</v>
      </c>
      <c r="I733" s="217"/>
    </row>
    <row r="734" spans="1:9" ht="24">
      <c r="A734" s="402">
        <v>8</v>
      </c>
      <c r="B734" s="799">
        <v>320200202600000</v>
      </c>
      <c r="C734" s="320" t="s">
        <v>2383</v>
      </c>
      <c r="D734" s="329"/>
      <c r="E734" s="335">
        <f t="shared" si="10"/>
        <v>0</v>
      </c>
      <c r="F734" s="354"/>
      <c r="G734" s="354"/>
      <c r="H734" s="335">
        <v>0</v>
      </c>
      <c r="I734" s="217"/>
    </row>
    <row r="735" spans="1:9" ht="24">
      <c r="A735" s="402">
        <v>8</v>
      </c>
      <c r="B735" s="799">
        <v>320200202900000</v>
      </c>
      <c r="C735" s="320" t="s">
        <v>2384</v>
      </c>
      <c r="D735" s="329"/>
      <c r="E735" s="335">
        <f t="shared" si="10"/>
        <v>0</v>
      </c>
      <c r="F735" s="354"/>
      <c r="G735" s="354"/>
      <c r="H735" s="335">
        <v>0</v>
      </c>
      <c r="I735" s="217"/>
    </row>
    <row r="736" spans="1:9">
      <c r="A736" s="401">
        <v>6</v>
      </c>
      <c r="B736" s="800" t="s">
        <v>920</v>
      </c>
      <c r="C736" s="317" t="s">
        <v>1617</v>
      </c>
      <c r="D736" s="328"/>
      <c r="E736" s="359"/>
      <c r="F736" s="359"/>
      <c r="G736" s="359"/>
      <c r="H736" s="359">
        <v>0</v>
      </c>
    </row>
    <row r="737" spans="1:9">
      <c r="A737" s="402">
        <v>7</v>
      </c>
      <c r="B737" s="799">
        <v>320200300000000</v>
      </c>
      <c r="C737" s="320" t="s">
        <v>919</v>
      </c>
      <c r="D737" s="329"/>
      <c r="E737" s="335">
        <f t="shared" si="10"/>
        <v>0</v>
      </c>
      <c r="F737" s="354"/>
      <c r="G737" s="354"/>
      <c r="H737" s="335">
        <v>0</v>
      </c>
      <c r="I737" s="217"/>
    </row>
    <row r="738" spans="1:9">
      <c r="A738" s="401">
        <v>4</v>
      </c>
      <c r="B738" s="800" t="s">
        <v>921</v>
      </c>
      <c r="C738" s="317" t="s">
        <v>2385</v>
      </c>
      <c r="D738" s="328"/>
      <c r="E738" s="359"/>
      <c r="F738" s="359"/>
      <c r="G738" s="359"/>
      <c r="H738" s="359">
        <v>0</v>
      </c>
    </row>
    <row r="739" spans="1:9">
      <c r="A739" s="401">
        <v>5</v>
      </c>
      <c r="B739" s="800" t="s">
        <v>922</v>
      </c>
      <c r="C739" s="317" t="s">
        <v>1619</v>
      </c>
      <c r="D739" s="328"/>
      <c r="E739" s="359"/>
      <c r="F739" s="359"/>
      <c r="G739" s="359"/>
      <c r="H739" s="359">
        <v>0</v>
      </c>
    </row>
    <row r="740" spans="1:9" ht="25.5">
      <c r="A740" s="401">
        <v>6</v>
      </c>
      <c r="B740" s="800" t="s">
        <v>923</v>
      </c>
      <c r="C740" s="317" t="s">
        <v>2386</v>
      </c>
      <c r="D740" s="328"/>
      <c r="E740" s="359"/>
      <c r="F740" s="359"/>
      <c r="G740" s="359"/>
      <c r="H740" s="359">
        <v>0</v>
      </c>
    </row>
    <row r="741" spans="1:9" ht="24">
      <c r="A741" s="402">
        <v>7</v>
      </c>
      <c r="B741" s="799">
        <v>325100100100000</v>
      </c>
      <c r="C741" s="320" t="s">
        <v>2387</v>
      </c>
      <c r="D741" s="329"/>
      <c r="E741" s="335">
        <f t="shared" ref="E741:E814" si="11">+F741+G741</f>
        <v>256149.72</v>
      </c>
      <c r="F741" s="354">
        <v>256149.72</v>
      </c>
      <c r="G741" s="354"/>
      <c r="H741" s="335">
        <v>244348.71</v>
      </c>
      <c r="I741" s="217"/>
    </row>
    <row r="742" spans="1:9" ht="24">
      <c r="A742" s="402">
        <v>7</v>
      </c>
      <c r="B742" s="799">
        <v>325100100200000</v>
      </c>
      <c r="C742" s="320" t="s">
        <v>2388</v>
      </c>
      <c r="D742" s="329"/>
      <c r="E742" s="335">
        <f t="shared" si="11"/>
        <v>100982.84</v>
      </c>
      <c r="F742" s="354">
        <v>100982.84</v>
      </c>
      <c r="G742" s="354"/>
      <c r="H742" s="335">
        <v>112655</v>
      </c>
      <c r="I742" s="217"/>
    </row>
    <row r="743" spans="1:9" ht="24">
      <c r="A743" s="402">
        <v>7</v>
      </c>
      <c r="B743" s="799">
        <v>325100100300000</v>
      </c>
      <c r="C743" s="320" t="s">
        <v>2389</v>
      </c>
      <c r="D743" s="329"/>
      <c r="E743" s="335">
        <f t="shared" si="11"/>
        <v>126514</v>
      </c>
      <c r="F743" s="354">
        <v>126514</v>
      </c>
      <c r="G743" s="354"/>
      <c r="H743" s="335">
        <v>68669</v>
      </c>
      <c r="I743" s="217"/>
    </row>
    <row r="744" spans="1:9" ht="24">
      <c r="A744" s="402">
        <v>7</v>
      </c>
      <c r="B744" s="799">
        <v>325100100400000</v>
      </c>
      <c r="C744" s="320" t="s">
        <v>2390</v>
      </c>
      <c r="D744" s="329"/>
      <c r="E744" s="335">
        <f t="shared" si="11"/>
        <v>0</v>
      </c>
      <c r="F744" s="354"/>
      <c r="G744" s="354"/>
      <c r="H744" s="335">
        <v>0</v>
      </c>
      <c r="I744" s="217"/>
    </row>
    <row r="745" spans="1:9" ht="24">
      <c r="A745" s="402">
        <v>7</v>
      </c>
      <c r="B745" s="799">
        <v>325100100500000</v>
      </c>
      <c r="C745" s="320" t="s">
        <v>2391</v>
      </c>
      <c r="D745" s="329"/>
      <c r="E745" s="335">
        <f t="shared" si="11"/>
        <v>0</v>
      </c>
      <c r="F745" s="354"/>
      <c r="G745" s="354"/>
      <c r="H745" s="335">
        <v>0</v>
      </c>
      <c r="I745" s="217"/>
    </row>
    <row r="746" spans="1:9" ht="24">
      <c r="A746" s="402">
        <v>7</v>
      </c>
      <c r="B746" s="799">
        <v>325100100600000</v>
      </c>
      <c r="C746" s="320" t="s">
        <v>2392</v>
      </c>
      <c r="D746" s="329"/>
      <c r="E746" s="335">
        <f t="shared" si="11"/>
        <v>0</v>
      </c>
      <c r="F746" s="354"/>
      <c r="G746" s="354"/>
      <c r="H746" s="335">
        <v>0</v>
      </c>
      <c r="I746" s="217"/>
    </row>
    <row r="747" spans="1:9" ht="24">
      <c r="A747" s="402">
        <v>7</v>
      </c>
      <c r="B747" s="799">
        <v>325100100700000</v>
      </c>
      <c r="C747" s="320" t="s">
        <v>2393</v>
      </c>
      <c r="D747" s="329"/>
      <c r="E747" s="335">
        <f t="shared" si="11"/>
        <v>0</v>
      </c>
      <c r="F747" s="354"/>
      <c r="G747" s="354"/>
      <c r="H747" s="335">
        <v>0</v>
      </c>
      <c r="I747" s="217"/>
    </row>
    <row r="748" spans="1:9" ht="24">
      <c r="A748" s="402">
        <v>7</v>
      </c>
      <c r="B748" s="799">
        <v>325100100900000</v>
      </c>
      <c r="C748" s="320" t="s">
        <v>2394</v>
      </c>
      <c r="D748" s="329"/>
      <c r="E748" s="335">
        <f t="shared" si="11"/>
        <v>132879.49</v>
      </c>
      <c r="F748" s="354">
        <v>132879.49</v>
      </c>
      <c r="G748" s="354"/>
      <c r="H748" s="335">
        <v>118133.66</v>
      </c>
      <c r="I748" s="217"/>
    </row>
    <row r="749" spans="1:9" ht="25.5">
      <c r="A749" s="401">
        <v>6</v>
      </c>
      <c r="B749" s="800" t="s">
        <v>924</v>
      </c>
      <c r="C749" s="317" t="s">
        <v>2395</v>
      </c>
      <c r="D749" s="328"/>
      <c r="E749" s="359"/>
      <c r="F749" s="359"/>
      <c r="G749" s="359"/>
      <c r="H749" s="359">
        <v>0</v>
      </c>
    </row>
    <row r="750" spans="1:9" ht="24">
      <c r="A750" s="402">
        <v>7</v>
      </c>
      <c r="B750" s="799">
        <v>325100200100000</v>
      </c>
      <c r="C750" s="320" t="s">
        <v>2396</v>
      </c>
      <c r="D750" s="329"/>
      <c r="E750" s="335">
        <f t="shared" si="11"/>
        <v>20216.07</v>
      </c>
      <c r="F750" s="354">
        <v>20216.07</v>
      </c>
      <c r="G750" s="354"/>
      <c r="H750" s="335">
        <v>0</v>
      </c>
      <c r="I750" s="217"/>
    </row>
    <row r="751" spans="1:9" ht="24">
      <c r="A751" s="402">
        <v>7</v>
      </c>
      <c r="B751" s="799">
        <v>325100200200000</v>
      </c>
      <c r="C751" s="320" t="s">
        <v>2397</v>
      </c>
      <c r="D751" s="329"/>
      <c r="E751" s="335">
        <f t="shared" si="11"/>
        <v>0</v>
      </c>
      <c r="F751" s="354"/>
      <c r="G751" s="354"/>
      <c r="H751" s="335">
        <v>0</v>
      </c>
      <c r="I751" s="217"/>
    </row>
    <row r="752" spans="1:9" ht="24">
      <c r="A752" s="402">
        <v>7</v>
      </c>
      <c r="B752" s="799">
        <v>325100200300000</v>
      </c>
      <c r="C752" s="320" t="s">
        <v>2398</v>
      </c>
      <c r="D752" s="329"/>
      <c r="E752" s="335">
        <f t="shared" si="11"/>
        <v>4518</v>
      </c>
      <c r="F752" s="354">
        <v>4518</v>
      </c>
      <c r="G752" s="354"/>
      <c r="H752" s="335">
        <v>0</v>
      </c>
      <c r="I752" s="217"/>
    </row>
    <row r="753" spans="1:9" ht="24">
      <c r="A753" s="402">
        <v>7</v>
      </c>
      <c r="B753" s="799">
        <v>325100200400000</v>
      </c>
      <c r="C753" s="320" t="s">
        <v>2399</v>
      </c>
      <c r="D753" s="329"/>
      <c r="E753" s="335">
        <f t="shared" si="11"/>
        <v>0</v>
      </c>
      <c r="F753" s="354"/>
      <c r="G753" s="354"/>
      <c r="H753" s="335">
        <v>0</v>
      </c>
      <c r="I753" s="217"/>
    </row>
    <row r="754" spans="1:9" ht="24">
      <c r="A754" s="402">
        <v>7</v>
      </c>
      <c r="B754" s="799">
        <v>325100200500000</v>
      </c>
      <c r="C754" s="320" t="s">
        <v>2400</v>
      </c>
      <c r="D754" s="329"/>
      <c r="E754" s="335">
        <f t="shared" si="11"/>
        <v>0</v>
      </c>
      <c r="F754" s="354"/>
      <c r="G754" s="354"/>
      <c r="H754" s="335">
        <v>0</v>
      </c>
      <c r="I754" s="217"/>
    </row>
    <row r="755" spans="1:9" ht="24">
      <c r="A755" s="402">
        <v>7</v>
      </c>
      <c r="B755" s="799">
        <v>325100200600000</v>
      </c>
      <c r="C755" s="320" t="s">
        <v>2401</v>
      </c>
      <c r="D755" s="329"/>
      <c r="E755" s="335">
        <f t="shared" si="11"/>
        <v>0</v>
      </c>
      <c r="F755" s="354"/>
      <c r="G755" s="354"/>
      <c r="H755" s="335">
        <v>0</v>
      </c>
      <c r="I755" s="217"/>
    </row>
    <row r="756" spans="1:9" ht="24">
      <c r="A756" s="402">
        <v>7</v>
      </c>
      <c r="B756" s="799">
        <v>325100200700000</v>
      </c>
      <c r="C756" s="320" t="s">
        <v>2402</v>
      </c>
      <c r="D756" s="329"/>
      <c r="E756" s="335">
        <f t="shared" si="11"/>
        <v>0</v>
      </c>
      <c r="F756" s="354"/>
      <c r="G756" s="354"/>
      <c r="H756" s="335">
        <v>0</v>
      </c>
      <c r="I756" s="217"/>
    </row>
    <row r="757" spans="1:9" ht="24">
      <c r="A757" s="402">
        <v>7</v>
      </c>
      <c r="B757" s="799">
        <v>325100200900000</v>
      </c>
      <c r="C757" s="320" t="s">
        <v>2403</v>
      </c>
      <c r="D757" s="329"/>
      <c r="E757" s="335">
        <f t="shared" si="11"/>
        <v>7366.15</v>
      </c>
      <c r="F757" s="354">
        <v>7366.15</v>
      </c>
      <c r="G757" s="354"/>
      <c r="H757" s="335">
        <v>0</v>
      </c>
      <c r="I757" s="217"/>
    </row>
    <row r="758" spans="1:9" ht="25.5">
      <c r="A758" s="401">
        <v>6</v>
      </c>
      <c r="B758" s="800" t="s">
        <v>926</v>
      </c>
      <c r="C758" s="317" t="s">
        <v>1622</v>
      </c>
      <c r="D758" s="328"/>
      <c r="E758" s="359"/>
      <c r="F758" s="359"/>
      <c r="G758" s="359"/>
      <c r="H758" s="359">
        <v>0</v>
      </c>
    </row>
    <row r="759" spans="1:9">
      <c r="A759" s="402">
        <v>7</v>
      </c>
      <c r="B759" s="799">
        <v>325100300000000</v>
      </c>
      <c r="C759" s="320" t="s">
        <v>925</v>
      </c>
      <c r="D759" s="329"/>
      <c r="E759" s="335">
        <f t="shared" si="11"/>
        <v>0</v>
      </c>
      <c r="F759" s="354"/>
      <c r="G759" s="354"/>
      <c r="H759" s="335">
        <v>0</v>
      </c>
      <c r="I759" s="217"/>
    </row>
    <row r="760" spans="1:9">
      <c r="A760" s="401">
        <v>5</v>
      </c>
      <c r="B760" s="800" t="s">
        <v>927</v>
      </c>
      <c r="C760" s="317" t="s">
        <v>1623</v>
      </c>
      <c r="D760" s="328"/>
      <c r="E760" s="359"/>
      <c r="F760" s="359"/>
      <c r="G760" s="359"/>
      <c r="H760" s="359">
        <v>0</v>
      </c>
    </row>
    <row r="761" spans="1:9" ht="25.5">
      <c r="A761" s="401">
        <v>6</v>
      </c>
      <c r="B761" s="800" t="s">
        <v>928</v>
      </c>
      <c r="C761" s="317" t="s">
        <v>2404</v>
      </c>
      <c r="D761" s="328"/>
      <c r="E761" s="359"/>
      <c r="F761" s="359"/>
      <c r="G761" s="359"/>
      <c r="H761" s="359">
        <v>0</v>
      </c>
    </row>
    <row r="762" spans="1:9" ht="24">
      <c r="A762" s="402">
        <v>7</v>
      </c>
      <c r="B762" s="799">
        <v>325200100100000</v>
      </c>
      <c r="C762" s="320" t="s">
        <v>2405</v>
      </c>
      <c r="D762" s="329"/>
      <c r="E762" s="335">
        <f t="shared" si="11"/>
        <v>0</v>
      </c>
      <c r="F762" s="354"/>
      <c r="G762" s="354"/>
      <c r="H762" s="335">
        <v>0</v>
      </c>
      <c r="I762" s="217"/>
    </row>
    <row r="763" spans="1:9" ht="24">
      <c r="A763" s="403">
        <v>7</v>
      </c>
      <c r="B763" s="802">
        <v>3252001002000</v>
      </c>
      <c r="C763" s="323" t="s">
        <v>2406</v>
      </c>
      <c r="D763" s="330"/>
      <c r="E763" s="356"/>
      <c r="F763" s="356"/>
      <c r="G763" s="356"/>
      <c r="H763" s="356">
        <v>0</v>
      </c>
      <c r="I763" s="217"/>
    </row>
    <row r="764" spans="1:9" ht="24">
      <c r="A764" s="402">
        <v>8</v>
      </c>
      <c r="B764" s="799">
        <v>325200100201000</v>
      </c>
      <c r="C764" s="320" t="s">
        <v>2407</v>
      </c>
      <c r="D764" s="329"/>
      <c r="E764" s="335">
        <f t="shared" si="11"/>
        <v>0</v>
      </c>
      <c r="F764" s="354"/>
      <c r="G764" s="354"/>
      <c r="H764" s="335">
        <v>0</v>
      </c>
      <c r="I764" s="217"/>
    </row>
    <row r="765" spans="1:9" ht="24">
      <c r="A765" s="402">
        <v>8</v>
      </c>
      <c r="B765" s="799">
        <v>325200100202000</v>
      </c>
      <c r="C765" s="320" t="s">
        <v>2408</v>
      </c>
      <c r="D765" s="329"/>
      <c r="E765" s="335">
        <f t="shared" si="11"/>
        <v>0</v>
      </c>
      <c r="F765" s="354"/>
      <c r="G765" s="354"/>
      <c r="H765" s="335">
        <v>0</v>
      </c>
      <c r="I765" s="217"/>
    </row>
    <row r="766" spans="1:9">
      <c r="A766" s="402">
        <v>8</v>
      </c>
      <c r="B766" s="799">
        <v>325200100203000</v>
      </c>
      <c r="C766" s="320" t="s">
        <v>2409</v>
      </c>
      <c r="D766" s="329"/>
      <c r="E766" s="335">
        <f t="shared" si="11"/>
        <v>0</v>
      </c>
      <c r="F766" s="354"/>
      <c r="G766" s="354"/>
      <c r="H766" s="335">
        <v>0</v>
      </c>
      <c r="I766" s="217"/>
    </row>
    <row r="767" spans="1:9" ht="24">
      <c r="A767" s="403">
        <v>7</v>
      </c>
      <c r="B767" s="802">
        <v>3252001003000</v>
      </c>
      <c r="C767" s="323" t="s">
        <v>2334</v>
      </c>
      <c r="D767" s="330"/>
      <c r="E767" s="356"/>
      <c r="F767" s="356"/>
      <c r="G767" s="356"/>
      <c r="H767" s="356">
        <v>0</v>
      </c>
      <c r="I767" s="217"/>
    </row>
    <row r="768" spans="1:9" ht="24">
      <c r="A768" s="402">
        <v>8</v>
      </c>
      <c r="B768" s="799">
        <v>325200100301000</v>
      </c>
      <c r="C768" s="320" t="s">
        <v>2410</v>
      </c>
      <c r="D768" s="329"/>
      <c r="E768" s="335">
        <f t="shared" si="11"/>
        <v>0</v>
      </c>
      <c r="F768" s="354"/>
      <c r="G768" s="354"/>
      <c r="H768" s="335">
        <v>0</v>
      </c>
      <c r="I768" s="217"/>
    </row>
    <row r="769" spans="1:9" ht="24">
      <c r="A769" s="402">
        <v>8</v>
      </c>
      <c r="B769" s="799">
        <v>325200100302000</v>
      </c>
      <c r="C769" s="320" t="s">
        <v>2411</v>
      </c>
      <c r="D769" s="329"/>
      <c r="E769" s="335">
        <f t="shared" si="11"/>
        <v>0</v>
      </c>
      <c r="F769" s="354"/>
      <c r="G769" s="354"/>
      <c r="H769" s="335">
        <v>0</v>
      </c>
      <c r="I769" s="217"/>
    </row>
    <row r="770" spans="1:9" ht="24">
      <c r="A770" s="402">
        <v>8</v>
      </c>
      <c r="B770" s="799">
        <v>325200100303000</v>
      </c>
      <c r="C770" s="320" t="s">
        <v>2412</v>
      </c>
      <c r="D770" s="329"/>
      <c r="E770" s="335">
        <f t="shared" si="11"/>
        <v>0</v>
      </c>
      <c r="F770" s="354"/>
      <c r="G770" s="354"/>
      <c r="H770" s="335">
        <v>0</v>
      </c>
      <c r="I770" s="217"/>
    </row>
    <row r="771" spans="1:9" ht="24">
      <c r="A771" s="402">
        <v>7</v>
      </c>
      <c r="B771" s="799">
        <v>325200100400000</v>
      </c>
      <c r="C771" s="320" t="s">
        <v>2413</v>
      </c>
      <c r="D771" s="329"/>
      <c r="E771" s="335">
        <f t="shared" si="11"/>
        <v>0</v>
      </c>
      <c r="F771" s="354"/>
      <c r="G771" s="354"/>
      <c r="H771" s="335">
        <v>0</v>
      </c>
      <c r="I771" s="217"/>
    </row>
    <row r="772" spans="1:9" ht="24">
      <c r="A772" s="402">
        <v>7</v>
      </c>
      <c r="B772" s="799">
        <v>325200100500000</v>
      </c>
      <c r="C772" s="320" t="s">
        <v>2414</v>
      </c>
      <c r="D772" s="329"/>
      <c r="E772" s="335">
        <f t="shared" si="11"/>
        <v>0</v>
      </c>
      <c r="F772" s="354"/>
      <c r="G772" s="354"/>
      <c r="H772" s="335">
        <v>0</v>
      </c>
      <c r="I772" s="217"/>
    </row>
    <row r="773" spans="1:9" ht="24">
      <c r="A773" s="402">
        <v>7</v>
      </c>
      <c r="B773" s="799">
        <v>325200100600000</v>
      </c>
      <c r="C773" s="320" t="s">
        <v>2415</v>
      </c>
      <c r="D773" s="329"/>
      <c r="E773" s="335">
        <f t="shared" si="11"/>
        <v>0</v>
      </c>
      <c r="F773" s="354"/>
      <c r="G773" s="354"/>
      <c r="H773" s="335">
        <v>0</v>
      </c>
      <c r="I773" s="217"/>
    </row>
    <row r="774" spans="1:9" ht="24">
      <c r="A774" s="402">
        <v>7</v>
      </c>
      <c r="B774" s="799">
        <v>325200100900000</v>
      </c>
      <c r="C774" s="320" t="s">
        <v>2416</v>
      </c>
      <c r="D774" s="329"/>
      <c r="E774" s="335">
        <f t="shared" si="11"/>
        <v>0</v>
      </c>
      <c r="F774" s="354"/>
      <c r="G774" s="354"/>
      <c r="H774" s="335">
        <v>0</v>
      </c>
      <c r="I774" s="217"/>
    </row>
    <row r="775" spans="1:9" ht="25.5">
      <c r="A775" s="401">
        <v>6</v>
      </c>
      <c r="B775" s="800" t="s">
        <v>929</v>
      </c>
      <c r="C775" s="317" t="s">
        <v>2417</v>
      </c>
      <c r="D775" s="328"/>
      <c r="E775" s="359"/>
      <c r="F775" s="359"/>
      <c r="G775" s="359"/>
      <c r="H775" s="359">
        <v>0</v>
      </c>
    </row>
    <row r="776" spans="1:9" ht="24">
      <c r="A776" s="402">
        <v>7</v>
      </c>
      <c r="B776" s="799">
        <v>325200200100000</v>
      </c>
      <c r="C776" s="320" t="s">
        <v>2418</v>
      </c>
      <c r="D776" s="329"/>
      <c r="E776" s="335">
        <f t="shared" si="11"/>
        <v>9886.49</v>
      </c>
      <c r="F776" s="354">
        <v>9886.49</v>
      </c>
      <c r="G776" s="354"/>
      <c r="H776" s="335">
        <v>0</v>
      </c>
      <c r="I776" s="217"/>
    </row>
    <row r="777" spans="1:9" ht="24">
      <c r="A777" s="403">
        <v>7</v>
      </c>
      <c r="B777" s="802">
        <v>3252002002000</v>
      </c>
      <c r="C777" s="323" t="s">
        <v>2419</v>
      </c>
      <c r="D777" s="330"/>
      <c r="E777" s="356"/>
      <c r="F777" s="356"/>
      <c r="G777" s="356"/>
      <c r="H777" s="356">
        <v>0</v>
      </c>
      <c r="I777" s="217"/>
    </row>
    <row r="778" spans="1:9" ht="24">
      <c r="A778" s="402">
        <v>8</v>
      </c>
      <c r="B778" s="799">
        <v>325200200201000</v>
      </c>
      <c r="C778" s="320" t="s">
        <v>2420</v>
      </c>
      <c r="D778" s="329"/>
      <c r="E778" s="335">
        <f t="shared" si="11"/>
        <v>0</v>
      </c>
      <c r="F778" s="354"/>
      <c r="G778" s="354"/>
      <c r="H778" s="335">
        <v>0</v>
      </c>
      <c r="I778" s="217"/>
    </row>
    <row r="779" spans="1:9" ht="24">
      <c r="A779" s="402">
        <v>8</v>
      </c>
      <c r="B779" s="799">
        <v>325200200202000</v>
      </c>
      <c r="C779" s="320" t="s">
        <v>2421</v>
      </c>
      <c r="D779" s="329"/>
      <c r="E779" s="335">
        <f t="shared" si="11"/>
        <v>0</v>
      </c>
      <c r="F779" s="354"/>
      <c r="G779" s="354"/>
      <c r="H779" s="335">
        <v>0</v>
      </c>
      <c r="I779" s="217"/>
    </row>
    <row r="780" spans="1:9">
      <c r="A780" s="402">
        <v>8</v>
      </c>
      <c r="B780" s="799">
        <v>325200200203000</v>
      </c>
      <c r="C780" s="320" t="s">
        <v>2422</v>
      </c>
      <c r="D780" s="329"/>
      <c r="E780" s="335">
        <f t="shared" si="11"/>
        <v>4282</v>
      </c>
      <c r="F780" s="354">
        <v>4282</v>
      </c>
      <c r="G780" s="354"/>
      <c r="H780" s="335">
        <v>0</v>
      </c>
      <c r="I780" s="217"/>
    </row>
    <row r="781" spans="1:9" ht="24">
      <c r="A781" s="403">
        <v>7</v>
      </c>
      <c r="B781" s="802">
        <v>3252002003000</v>
      </c>
      <c r="C781" s="323" t="s">
        <v>2349</v>
      </c>
      <c r="D781" s="330"/>
      <c r="E781" s="356"/>
      <c r="F781" s="356"/>
      <c r="G781" s="356"/>
      <c r="H781" s="356">
        <v>0</v>
      </c>
      <c r="I781" s="217"/>
    </row>
    <row r="782" spans="1:9" ht="24">
      <c r="A782" s="402">
        <v>8</v>
      </c>
      <c r="B782" s="799">
        <v>325200200301000</v>
      </c>
      <c r="C782" s="320" t="s">
        <v>2423</v>
      </c>
      <c r="D782" s="329"/>
      <c r="E782" s="335">
        <f t="shared" si="11"/>
        <v>384.6</v>
      </c>
      <c r="F782" s="354">
        <v>384.6</v>
      </c>
      <c r="G782" s="354"/>
      <c r="H782" s="335">
        <v>0</v>
      </c>
      <c r="I782" s="217"/>
    </row>
    <row r="783" spans="1:9" ht="24">
      <c r="A783" s="402">
        <v>8</v>
      </c>
      <c r="B783" s="799">
        <v>325200200302000</v>
      </c>
      <c r="C783" s="320" t="s">
        <v>2424</v>
      </c>
      <c r="D783" s="329"/>
      <c r="E783" s="335">
        <f t="shared" si="11"/>
        <v>0</v>
      </c>
      <c r="F783" s="354"/>
      <c r="G783" s="354"/>
      <c r="H783" s="335">
        <v>0</v>
      </c>
      <c r="I783" s="217"/>
    </row>
    <row r="784" spans="1:9" ht="24">
      <c r="A784" s="402">
        <v>8</v>
      </c>
      <c r="B784" s="799">
        <v>325200200303000</v>
      </c>
      <c r="C784" s="320" t="s">
        <v>2425</v>
      </c>
      <c r="D784" s="329"/>
      <c r="E784" s="335">
        <f t="shared" si="11"/>
        <v>0</v>
      </c>
      <c r="F784" s="354"/>
      <c r="G784" s="354"/>
      <c r="H784" s="335">
        <v>0</v>
      </c>
      <c r="I784" s="217"/>
    </row>
    <row r="785" spans="1:9" ht="24">
      <c r="A785" s="402">
        <v>7</v>
      </c>
      <c r="B785" s="799">
        <v>325200200400000</v>
      </c>
      <c r="C785" s="320" t="s">
        <v>2426</v>
      </c>
      <c r="D785" s="329"/>
      <c r="E785" s="335">
        <f t="shared" si="11"/>
        <v>0</v>
      </c>
      <c r="F785" s="354"/>
      <c r="G785" s="354"/>
      <c r="H785" s="335">
        <v>0</v>
      </c>
      <c r="I785" s="217"/>
    </row>
    <row r="786" spans="1:9" ht="24">
      <c r="A786" s="402">
        <v>7</v>
      </c>
      <c r="B786" s="799">
        <v>325200200500000</v>
      </c>
      <c r="C786" s="320" t="s">
        <v>2427</v>
      </c>
      <c r="D786" s="329"/>
      <c r="E786" s="335">
        <f t="shared" si="11"/>
        <v>0</v>
      </c>
      <c r="F786" s="354"/>
      <c r="G786" s="354"/>
      <c r="H786" s="335">
        <v>0</v>
      </c>
      <c r="I786" s="217"/>
    </row>
    <row r="787" spans="1:9" ht="24">
      <c r="A787" s="402">
        <v>7</v>
      </c>
      <c r="B787" s="799">
        <v>325200200600000</v>
      </c>
      <c r="C787" s="320" t="s">
        <v>2428</v>
      </c>
      <c r="D787" s="329"/>
      <c r="E787" s="335">
        <f t="shared" si="11"/>
        <v>0</v>
      </c>
      <c r="F787" s="354"/>
      <c r="G787" s="354"/>
      <c r="H787" s="335">
        <v>0</v>
      </c>
      <c r="I787" s="217"/>
    </row>
    <row r="788" spans="1:9" ht="24">
      <c r="A788" s="402">
        <v>7</v>
      </c>
      <c r="B788" s="799">
        <v>325200200900000</v>
      </c>
      <c r="C788" s="320" t="s">
        <v>2429</v>
      </c>
      <c r="D788" s="329"/>
      <c r="E788" s="335">
        <f t="shared" si="11"/>
        <v>4190.09</v>
      </c>
      <c r="F788" s="354">
        <v>4190.09</v>
      </c>
      <c r="G788" s="354"/>
      <c r="H788" s="335">
        <v>0</v>
      </c>
      <c r="I788" s="217"/>
    </row>
    <row r="789" spans="1:9" ht="25.5">
      <c r="A789" s="401">
        <v>6</v>
      </c>
      <c r="B789" s="800" t="s">
        <v>931</v>
      </c>
      <c r="C789" s="317" t="s">
        <v>1626</v>
      </c>
      <c r="D789" s="328"/>
      <c r="E789" s="359"/>
      <c r="F789" s="359"/>
      <c r="G789" s="359"/>
      <c r="H789" s="359">
        <v>0</v>
      </c>
    </row>
    <row r="790" spans="1:9">
      <c r="A790" s="402">
        <v>7</v>
      </c>
      <c r="B790" s="799">
        <v>325200300000000</v>
      </c>
      <c r="C790" s="320" t="s">
        <v>930</v>
      </c>
      <c r="D790" s="329"/>
      <c r="E790" s="335">
        <f t="shared" si="11"/>
        <v>0</v>
      </c>
      <c r="F790" s="354"/>
      <c r="G790" s="354"/>
      <c r="H790" s="335">
        <v>0</v>
      </c>
      <c r="I790" s="217"/>
    </row>
    <row r="791" spans="1:9">
      <c r="A791" s="401">
        <v>4</v>
      </c>
      <c r="B791" s="800" t="s">
        <v>932</v>
      </c>
      <c r="C791" s="317" t="s">
        <v>2430</v>
      </c>
      <c r="D791" s="328"/>
      <c r="E791" s="359"/>
      <c r="F791" s="359"/>
      <c r="G791" s="359"/>
      <c r="H791" s="359">
        <v>0</v>
      </c>
    </row>
    <row r="792" spans="1:9">
      <c r="A792" s="401">
        <v>5</v>
      </c>
      <c r="B792" s="800" t="s">
        <v>933</v>
      </c>
      <c r="C792" s="317" t="s">
        <v>1628</v>
      </c>
      <c r="D792" s="328"/>
      <c r="E792" s="359"/>
      <c r="F792" s="359"/>
      <c r="G792" s="359"/>
      <c r="H792" s="359">
        <v>0</v>
      </c>
    </row>
    <row r="793" spans="1:9" ht="25.5">
      <c r="A793" s="401">
        <v>6</v>
      </c>
      <c r="B793" s="800" t="s">
        <v>934</v>
      </c>
      <c r="C793" s="317" t="s">
        <v>1629</v>
      </c>
      <c r="D793" s="328"/>
      <c r="E793" s="359"/>
      <c r="F793" s="359"/>
      <c r="G793" s="359"/>
      <c r="H793" s="359">
        <v>0</v>
      </c>
    </row>
    <row r="794" spans="1:9" ht="24">
      <c r="A794" s="403">
        <v>7</v>
      </c>
      <c r="B794" s="802">
        <v>3301001000000</v>
      </c>
      <c r="C794" s="323" t="s">
        <v>2631</v>
      </c>
      <c r="D794" s="330"/>
      <c r="E794" s="356"/>
      <c r="F794" s="356"/>
      <c r="G794" s="356"/>
      <c r="H794" s="356"/>
      <c r="I794" s="217"/>
    </row>
    <row r="795" spans="1:9" ht="24">
      <c r="A795" s="402">
        <v>8</v>
      </c>
      <c r="B795" s="799">
        <v>330100100100000</v>
      </c>
      <c r="C795" s="320" t="s">
        <v>2431</v>
      </c>
      <c r="D795" s="329"/>
      <c r="E795" s="335">
        <f t="shared" si="11"/>
        <v>133913.85</v>
      </c>
      <c r="F795" s="354">
        <v>133913.85</v>
      </c>
      <c r="G795" s="354"/>
      <c r="H795" s="335">
        <v>135353.84</v>
      </c>
      <c r="I795" s="217"/>
    </row>
    <row r="796" spans="1:9" ht="24">
      <c r="A796" s="402">
        <v>8</v>
      </c>
      <c r="B796" s="799">
        <v>330100100200000</v>
      </c>
      <c r="C796" s="320" t="s">
        <v>2432</v>
      </c>
      <c r="D796" s="329"/>
      <c r="E796" s="335">
        <f t="shared" si="11"/>
        <v>48467.51</v>
      </c>
      <c r="F796" s="354">
        <v>48467.51</v>
      </c>
      <c r="G796" s="354"/>
      <c r="H796" s="335">
        <v>58580</v>
      </c>
      <c r="I796" s="217"/>
    </row>
    <row r="797" spans="1:9" ht="24">
      <c r="A797" s="402">
        <v>8</v>
      </c>
      <c r="B797" s="799">
        <v>330100100300000</v>
      </c>
      <c r="C797" s="320" t="s">
        <v>2433</v>
      </c>
      <c r="D797" s="329"/>
      <c r="E797" s="335">
        <f t="shared" si="11"/>
        <v>67775</v>
      </c>
      <c r="F797" s="354">
        <v>67775</v>
      </c>
      <c r="G797" s="354"/>
      <c r="H797" s="335">
        <v>35708</v>
      </c>
      <c r="I797" s="217"/>
    </row>
    <row r="798" spans="1:9" ht="24">
      <c r="A798" s="402">
        <v>8</v>
      </c>
      <c r="B798" s="799">
        <v>330100100400000</v>
      </c>
      <c r="C798" s="320" t="s">
        <v>2434</v>
      </c>
      <c r="D798" s="329"/>
      <c r="E798" s="335">
        <f t="shared" si="11"/>
        <v>0</v>
      </c>
      <c r="F798" s="354"/>
      <c r="G798" s="354"/>
      <c r="H798" s="335">
        <v>0</v>
      </c>
      <c r="I798" s="217"/>
    </row>
    <row r="799" spans="1:9" ht="24">
      <c r="A799" s="402">
        <v>8</v>
      </c>
      <c r="B799" s="799">
        <v>330100100500000</v>
      </c>
      <c r="C799" s="320" t="s">
        <v>2435</v>
      </c>
      <c r="D799" s="329"/>
      <c r="E799" s="335">
        <f t="shared" si="11"/>
        <v>0</v>
      </c>
      <c r="F799" s="354"/>
      <c r="G799" s="354"/>
      <c r="H799" s="335">
        <v>0</v>
      </c>
      <c r="I799" s="217"/>
    </row>
    <row r="800" spans="1:9" ht="24">
      <c r="A800" s="402">
        <v>8</v>
      </c>
      <c r="B800" s="799">
        <v>330100100600000</v>
      </c>
      <c r="C800" s="320" t="s">
        <v>2436</v>
      </c>
      <c r="D800" s="329"/>
      <c r="E800" s="335">
        <f t="shared" si="11"/>
        <v>0</v>
      </c>
      <c r="F800" s="354"/>
      <c r="G800" s="354"/>
      <c r="H800" s="335">
        <v>0</v>
      </c>
      <c r="I800" s="217"/>
    </row>
    <row r="801" spans="1:9" ht="24">
      <c r="A801" s="402">
        <v>8</v>
      </c>
      <c r="B801" s="799">
        <v>330100100700000</v>
      </c>
      <c r="C801" s="320" t="s">
        <v>2437</v>
      </c>
      <c r="D801" s="329"/>
      <c r="E801" s="335">
        <f t="shared" si="11"/>
        <v>0</v>
      </c>
      <c r="F801" s="354"/>
      <c r="G801" s="354"/>
      <c r="H801" s="335">
        <v>0</v>
      </c>
      <c r="I801" s="217"/>
    </row>
    <row r="802" spans="1:9" ht="24">
      <c r="A802" s="402">
        <v>8</v>
      </c>
      <c r="B802" s="799">
        <v>330100100900000</v>
      </c>
      <c r="C802" s="320" t="s">
        <v>2438</v>
      </c>
      <c r="D802" s="329"/>
      <c r="E802" s="335">
        <f t="shared" si="11"/>
        <v>70518.39</v>
      </c>
      <c r="F802" s="354">
        <v>70518.39</v>
      </c>
      <c r="G802" s="354"/>
      <c r="H802" s="335">
        <v>66413.820000000007</v>
      </c>
      <c r="I802" s="217"/>
    </row>
    <row r="803" spans="1:9" ht="24">
      <c r="A803" s="403">
        <v>7</v>
      </c>
      <c r="B803" s="802">
        <v>3301001010000</v>
      </c>
      <c r="C803" s="323" t="s">
        <v>2632</v>
      </c>
      <c r="D803" s="330"/>
      <c r="E803" s="356"/>
      <c r="F803" s="356"/>
      <c r="G803" s="356"/>
      <c r="H803" s="356"/>
      <c r="I803" s="217"/>
    </row>
    <row r="804" spans="1:9" ht="24">
      <c r="A804" s="402">
        <v>8</v>
      </c>
      <c r="B804" s="799">
        <v>330100101100000</v>
      </c>
      <c r="C804" s="320" t="s">
        <v>2633</v>
      </c>
      <c r="D804" s="329"/>
      <c r="E804" s="335">
        <f t="shared" ref="E804:E811" si="12">+F804+G804</f>
        <v>0</v>
      </c>
      <c r="F804" s="354"/>
      <c r="G804" s="354"/>
      <c r="H804" s="335"/>
      <c r="I804" s="217"/>
    </row>
    <row r="805" spans="1:9" ht="24">
      <c r="A805" s="402">
        <v>8</v>
      </c>
      <c r="B805" s="799">
        <v>330100101200000</v>
      </c>
      <c r="C805" s="320" t="s">
        <v>2652</v>
      </c>
      <c r="D805" s="329"/>
      <c r="E805" s="335">
        <f t="shared" si="12"/>
        <v>0</v>
      </c>
      <c r="F805" s="354"/>
      <c r="G805" s="354"/>
      <c r="H805" s="335"/>
      <c r="I805" s="217"/>
    </row>
    <row r="806" spans="1:9" ht="24">
      <c r="A806" s="402">
        <v>8</v>
      </c>
      <c r="B806" s="799">
        <v>330100101300000</v>
      </c>
      <c r="C806" s="320" t="s">
        <v>2634</v>
      </c>
      <c r="D806" s="329"/>
      <c r="E806" s="335">
        <f t="shared" si="12"/>
        <v>0</v>
      </c>
      <c r="F806" s="354"/>
      <c r="G806" s="354"/>
      <c r="H806" s="335"/>
      <c r="I806" s="217"/>
    </row>
    <row r="807" spans="1:9" ht="24">
      <c r="A807" s="402">
        <v>8</v>
      </c>
      <c r="B807" s="799">
        <v>330100101400000</v>
      </c>
      <c r="C807" s="320" t="s">
        <v>2635</v>
      </c>
      <c r="D807" s="329"/>
      <c r="E807" s="335">
        <f t="shared" si="12"/>
        <v>0</v>
      </c>
      <c r="F807" s="354"/>
      <c r="G807" s="354"/>
      <c r="H807" s="335"/>
      <c r="I807" s="217"/>
    </row>
    <row r="808" spans="1:9" ht="24">
      <c r="A808" s="402">
        <v>8</v>
      </c>
      <c r="B808" s="799">
        <v>330100101500000</v>
      </c>
      <c r="C808" s="320" t="s">
        <v>2636</v>
      </c>
      <c r="D808" s="329"/>
      <c r="E808" s="335">
        <f t="shared" si="12"/>
        <v>0</v>
      </c>
      <c r="F808" s="354"/>
      <c r="G808" s="354"/>
      <c r="H808" s="335"/>
      <c r="I808" s="217"/>
    </row>
    <row r="809" spans="1:9" ht="24">
      <c r="A809" s="402">
        <v>8</v>
      </c>
      <c r="B809" s="799">
        <v>330100101600000</v>
      </c>
      <c r="C809" s="320" t="s">
        <v>2637</v>
      </c>
      <c r="D809" s="329"/>
      <c r="E809" s="335">
        <f t="shared" si="12"/>
        <v>0</v>
      </c>
      <c r="F809" s="354"/>
      <c r="G809" s="354"/>
      <c r="H809" s="335"/>
      <c r="I809" s="217"/>
    </row>
    <row r="810" spans="1:9" ht="24">
      <c r="A810" s="402">
        <v>8</v>
      </c>
      <c r="B810" s="799">
        <v>330100101700000</v>
      </c>
      <c r="C810" s="320" t="s">
        <v>2638</v>
      </c>
      <c r="D810" s="329"/>
      <c r="E810" s="335">
        <f t="shared" si="12"/>
        <v>0</v>
      </c>
      <c r="F810" s="354"/>
      <c r="G810" s="354"/>
      <c r="H810" s="335"/>
      <c r="I810" s="217"/>
    </row>
    <row r="811" spans="1:9" ht="24">
      <c r="A811" s="402">
        <v>8</v>
      </c>
      <c r="B811" s="799">
        <v>330100101900000</v>
      </c>
      <c r="C811" s="320" t="s">
        <v>2639</v>
      </c>
      <c r="D811" s="329"/>
      <c r="E811" s="335">
        <f t="shared" si="12"/>
        <v>0</v>
      </c>
      <c r="F811" s="354"/>
      <c r="G811" s="354"/>
      <c r="H811" s="335"/>
      <c r="I811" s="217"/>
    </row>
    <row r="812" spans="1:9" ht="25.5">
      <c r="A812" s="401">
        <v>6</v>
      </c>
      <c r="B812" s="800" t="s">
        <v>935</v>
      </c>
      <c r="C812" s="317" t="s">
        <v>1630</v>
      </c>
      <c r="D812" s="328"/>
      <c r="E812" s="359"/>
      <c r="F812" s="359"/>
      <c r="G812" s="359"/>
      <c r="H812" s="359">
        <v>0</v>
      </c>
    </row>
    <row r="813" spans="1:9" ht="24">
      <c r="A813" s="403">
        <v>7</v>
      </c>
      <c r="B813" s="802">
        <v>3301002000000</v>
      </c>
      <c r="C813" s="323" t="s">
        <v>2640</v>
      </c>
      <c r="D813" s="330"/>
      <c r="E813" s="356"/>
      <c r="F813" s="356"/>
      <c r="G813" s="356"/>
      <c r="H813" s="356"/>
      <c r="I813" s="217"/>
    </row>
    <row r="814" spans="1:9" ht="24">
      <c r="A814" s="402">
        <v>8</v>
      </c>
      <c r="B814" s="799">
        <v>330100200100000</v>
      </c>
      <c r="C814" s="320" t="s">
        <v>2439</v>
      </c>
      <c r="D814" s="329"/>
      <c r="E814" s="335">
        <f t="shared" si="11"/>
        <v>0</v>
      </c>
      <c r="F814" s="354"/>
      <c r="G814" s="354"/>
      <c r="H814" s="335">
        <v>0</v>
      </c>
      <c r="I814" s="217"/>
    </row>
    <row r="815" spans="1:9" ht="24">
      <c r="A815" s="402">
        <v>8</v>
      </c>
      <c r="B815" s="799">
        <v>330100200200000</v>
      </c>
      <c r="C815" s="320" t="s">
        <v>2440</v>
      </c>
      <c r="D815" s="329"/>
      <c r="E815" s="335">
        <f t="shared" ref="E815:E888" si="13">+F815+G815</f>
        <v>0</v>
      </c>
      <c r="F815" s="354"/>
      <c r="G815" s="354"/>
      <c r="H815" s="335">
        <v>0</v>
      </c>
      <c r="I815" s="217"/>
    </row>
    <row r="816" spans="1:9" ht="24">
      <c r="A816" s="402">
        <v>8</v>
      </c>
      <c r="B816" s="799">
        <v>330100200300000</v>
      </c>
      <c r="C816" s="320" t="s">
        <v>2441</v>
      </c>
      <c r="D816" s="329"/>
      <c r="E816" s="335">
        <f t="shared" si="13"/>
        <v>0</v>
      </c>
      <c r="F816" s="354"/>
      <c r="G816" s="354"/>
      <c r="H816" s="335">
        <v>0</v>
      </c>
      <c r="I816" s="217"/>
    </row>
    <row r="817" spans="1:9" ht="24">
      <c r="A817" s="402">
        <v>8</v>
      </c>
      <c r="B817" s="799">
        <v>330100200400000</v>
      </c>
      <c r="C817" s="320" t="s">
        <v>2442</v>
      </c>
      <c r="D817" s="329"/>
      <c r="E817" s="335">
        <f t="shared" si="13"/>
        <v>0</v>
      </c>
      <c r="F817" s="354"/>
      <c r="G817" s="354"/>
      <c r="H817" s="335">
        <v>0</v>
      </c>
      <c r="I817" s="217"/>
    </row>
    <row r="818" spans="1:9" ht="24">
      <c r="A818" s="402">
        <v>8</v>
      </c>
      <c r="B818" s="799">
        <v>330100200500000</v>
      </c>
      <c r="C818" s="320" t="s">
        <v>2443</v>
      </c>
      <c r="D818" s="329"/>
      <c r="E818" s="335">
        <f t="shared" si="13"/>
        <v>0</v>
      </c>
      <c r="F818" s="354"/>
      <c r="G818" s="354"/>
      <c r="H818" s="335">
        <v>0</v>
      </c>
      <c r="I818" s="217"/>
    </row>
    <row r="819" spans="1:9" ht="24">
      <c r="A819" s="402">
        <v>8</v>
      </c>
      <c r="B819" s="799">
        <v>330100200600000</v>
      </c>
      <c r="C819" s="320" t="s">
        <v>2444</v>
      </c>
      <c r="D819" s="329"/>
      <c r="E819" s="335">
        <f t="shared" si="13"/>
        <v>0</v>
      </c>
      <c r="F819" s="354"/>
      <c r="G819" s="354"/>
      <c r="H819" s="335">
        <v>0</v>
      </c>
      <c r="I819" s="217"/>
    </row>
    <row r="820" spans="1:9" ht="24">
      <c r="A820" s="402">
        <v>8</v>
      </c>
      <c r="B820" s="799">
        <v>330100200700000</v>
      </c>
      <c r="C820" s="320" t="s">
        <v>2445</v>
      </c>
      <c r="D820" s="329"/>
      <c r="E820" s="335">
        <f t="shared" si="13"/>
        <v>0</v>
      </c>
      <c r="F820" s="354"/>
      <c r="G820" s="354"/>
      <c r="H820" s="335">
        <v>0</v>
      </c>
      <c r="I820" s="217"/>
    </row>
    <row r="821" spans="1:9" ht="24">
      <c r="A821" s="402">
        <v>8</v>
      </c>
      <c r="B821" s="799">
        <v>330100200900000</v>
      </c>
      <c r="C821" s="320" t="s">
        <v>2446</v>
      </c>
      <c r="D821" s="329"/>
      <c r="E821" s="335">
        <f t="shared" si="13"/>
        <v>0</v>
      </c>
      <c r="F821" s="354"/>
      <c r="G821" s="354"/>
      <c r="H821" s="335">
        <v>0</v>
      </c>
      <c r="I821" s="217"/>
    </row>
    <row r="822" spans="1:9" ht="24">
      <c r="A822" s="403">
        <v>7</v>
      </c>
      <c r="B822" s="802">
        <v>3301002010000</v>
      </c>
      <c r="C822" s="323" t="s">
        <v>2641</v>
      </c>
      <c r="D822" s="330"/>
      <c r="E822" s="356"/>
      <c r="F822" s="356"/>
      <c r="G822" s="356"/>
      <c r="H822" s="356"/>
      <c r="I822" s="217"/>
    </row>
    <row r="823" spans="1:9" ht="24">
      <c r="A823" s="402">
        <v>8</v>
      </c>
      <c r="B823" s="799">
        <v>330100201100000</v>
      </c>
      <c r="C823" s="320" t="s">
        <v>2642</v>
      </c>
      <c r="D823" s="329"/>
      <c r="E823" s="335">
        <f t="shared" ref="E823:E830" si="14">+F823+G823</f>
        <v>0</v>
      </c>
      <c r="F823" s="354"/>
      <c r="G823" s="354"/>
      <c r="H823" s="335"/>
      <c r="I823" s="217"/>
    </row>
    <row r="824" spans="1:9" ht="24">
      <c r="A824" s="402">
        <v>8</v>
      </c>
      <c r="B824" s="799">
        <v>330100201200000</v>
      </c>
      <c r="C824" s="320" t="s">
        <v>2643</v>
      </c>
      <c r="D824" s="329"/>
      <c r="E824" s="335">
        <f t="shared" si="14"/>
        <v>0</v>
      </c>
      <c r="F824" s="354"/>
      <c r="G824" s="354"/>
      <c r="H824" s="335"/>
      <c r="I824" s="217"/>
    </row>
    <row r="825" spans="1:9" ht="24">
      <c r="A825" s="402">
        <v>8</v>
      </c>
      <c r="B825" s="799">
        <v>330100201300000</v>
      </c>
      <c r="C825" s="320" t="s">
        <v>2644</v>
      </c>
      <c r="D825" s="329"/>
      <c r="E825" s="335">
        <f t="shared" si="14"/>
        <v>0</v>
      </c>
      <c r="F825" s="354"/>
      <c r="G825" s="354"/>
      <c r="H825" s="335"/>
      <c r="I825" s="217"/>
    </row>
    <row r="826" spans="1:9" ht="24">
      <c r="A826" s="402">
        <v>8</v>
      </c>
      <c r="B826" s="799">
        <v>330100201400000</v>
      </c>
      <c r="C826" s="320" t="s">
        <v>2645</v>
      </c>
      <c r="D826" s="329"/>
      <c r="E826" s="335">
        <f t="shared" si="14"/>
        <v>0</v>
      </c>
      <c r="F826" s="354"/>
      <c r="G826" s="354"/>
      <c r="H826" s="335"/>
      <c r="I826" s="217"/>
    </row>
    <row r="827" spans="1:9" ht="24">
      <c r="A827" s="402">
        <v>8</v>
      </c>
      <c r="B827" s="799">
        <v>330100201500000</v>
      </c>
      <c r="C827" s="320" t="s">
        <v>2646</v>
      </c>
      <c r="D827" s="329"/>
      <c r="E827" s="335">
        <f t="shared" si="14"/>
        <v>0</v>
      </c>
      <c r="F827" s="354"/>
      <c r="G827" s="354"/>
      <c r="H827" s="335"/>
      <c r="I827" s="217"/>
    </row>
    <row r="828" spans="1:9" ht="24">
      <c r="A828" s="402">
        <v>8</v>
      </c>
      <c r="B828" s="799">
        <v>330100201600000</v>
      </c>
      <c r="C828" s="320" t="s">
        <v>2647</v>
      </c>
      <c r="D828" s="329"/>
      <c r="E828" s="335">
        <f t="shared" si="14"/>
        <v>0</v>
      </c>
      <c r="F828" s="354"/>
      <c r="G828" s="354"/>
      <c r="H828" s="335"/>
      <c r="I828" s="217"/>
    </row>
    <row r="829" spans="1:9" ht="24">
      <c r="A829" s="402">
        <v>8</v>
      </c>
      <c r="B829" s="799">
        <v>330100201700000</v>
      </c>
      <c r="C829" s="320" t="s">
        <v>2648</v>
      </c>
      <c r="D829" s="329"/>
      <c r="E829" s="335">
        <f t="shared" si="14"/>
        <v>0</v>
      </c>
      <c r="F829" s="354"/>
      <c r="G829" s="354"/>
      <c r="H829" s="335"/>
      <c r="I829" s="217"/>
    </row>
    <row r="830" spans="1:9" ht="24">
      <c r="A830" s="402">
        <v>8</v>
      </c>
      <c r="B830" s="799">
        <v>330100201900000</v>
      </c>
      <c r="C830" s="320" t="s">
        <v>2649</v>
      </c>
      <c r="D830" s="329"/>
      <c r="E830" s="335">
        <f t="shared" si="14"/>
        <v>0</v>
      </c>
      <c r="F830" s="354"/>
      <c r="G830" s="354"/>
      <c r="H830" s="335"/>
      <c r="I830" s="217"/>
    </row>
    <row r="831" spans="1:9">
      <c r="A831" s="401">
        <v>6</v>
      </c>
      <c r="B831" s="800" t="s">
        <v>937</v>
      </c>
      <c r="C831" s="317" t="s">
        <v>1631</v>
      </c>
      <c r="D831" s="328"/>
      <c r="E831" s="359"/>
      <c r="F831" s="359"/>
      <c r="G831" s="359"/>
      <c r="H831" s="359">
        <v>0</v>
      </c>
    </row>
    <row r="832" spans="1:9">
      <c r="A832" s="402">
        <v>7</v>
      </c>
      <c r="B832" s="799">
        <v>330100300000000</v>
      </c>
      <c r="C832" s="320" t="s">
        <v>936</v>
      </c>
      <c r="D832" s="329"/>
      <c r="E832" s="335">
        <f t="shared" si="13"/>
        <v>0</v>
      </c>
      <c r="F832" s="354"/>
      <c r="G832" s="354"/>
      <c r="H832" s="335">
        <v>0</v>
      </c>
      <c r="I832" s="217"/>
    </row>
    <row r="833" spans="1:9">
      <c r="A833" s="402">
        <v>7</v>
      </c>
      <c r="B833" s="799">
        <v>330100400000000</v>
      </c>
      <c r="C833" s="320" t="s">
        <v>2650</v>
      </c>
      <c r="D833" s="329"/>
      <c r="E833" s="335"/>
      <c r="F833" s="354"/>
      <c r="G833" s="354"/>
      <c r="H833" s="335"/>
      <c r="I833" s="217"/>
    </row>
    <row r="834" spans="1:9">
      <c r="A834" s="401">
        <v>5</v>
      </c>
      <c r="B834" s="800" t="s">
        <v>938</v>
      </c>
      <c r="C834" s="317" t="s">
        <v>1632</v>
      </c>
      <c r="D834" s="328"/>
      <c r="E834" s="359"/>
      <c r="F834" s="359"/>
      <c r="G834" s="359"/>
      <c r="H834" s="359">
        <v>0</v>
      </c>
    </row>
    <row r="835" spans="1:9" ht="25.5">
      <c r="A835" s="401">
        <v>6</v>
      </c>
      <c r="B835" s="800" t="s">
        <v>939</v>
      </c>
      <c r="C835" s="317" t="s">
        <v>1633</v>
      </c>
      <c r="D835" s="328"/>
      <c r="E835" s="359"/>
      <c r="F835" s="359"/>
      <c r="G835" s="359"/>
      <c r="H835" s="359">
        <v>0</v>
      </c>
    </row>
    <row r="836" spans="1:9" ht="24">
      <c r="A836" s="403">
        <v>7</v>
      </c>
      <c r="B836" s="804">
        <v>3302001000000</v>
      </c>
      <c r="C836" s="323" t="s">
        <v>2447</v>
      </c>
      <c r="D836" s="331"/>
      <c r="E836" s="360"/>
      <c r="F836" s="360"/>
      <c r="G836" s="360"/>
      <c r="H836" s="360"/>
      <c r="I836" s="217"/>
    </row>
    <row r="837" spans="1:9" ht="24">
      <c r="A837" s="402">
        <v>8</v>
      </c>
      <c r="B837" s="799">
        <v>330200100100000</v>
      </c>
      <c r="C837" s="320" t="s">
        <v>2448</v>
      </c>
      <c r="D837" s="329"/>
      <c r="E837" s="335">
        <f t="shared" si="13"/>
        <v>267996.25</v>
      </c>
      <c r="F837" s="354">
        <v>267996.25</v>
      </c>
      <c r="G837" s="354"/>
      <c r="H837" s="335">
        <v>267144.83</v>
      </c>
      <c r="I837" s="217"/>
    </row>
    <row r="838" spans="1:9" ht="24">
      <c r="A838" s="403">
        <v>8</v>
      </c>
      <c r="B838" s="802">
        <v>3302001002000</v>
      </c>
      <c r="C838" s="323" t="s">
        <v>2449</v>
      </c>
      <c r="D838" s="331"/>
      <c r="E838" s="360"/>
      <c r="F838" s="360"/>
      <c r="G838" s="360"/>
      <c r="H838" s="360">
        <v>0</v>
      </c>
      <c r="I838" s="217"/>
    </row>
    <row r="839" spans="1:9" ht="24">
      <c r="A839" s="402">
        <v>9</v>
      </c>
      <c r="B839" s="799">
        <v>330200100201000</v>
      </c>
      <c r="C839" s="320" t="s">
        <v>2450</v>
      </c>
      <c r="D839" s="329"/>
      <c r="E839" s="335">
        <f t="shared" si="13"/>
        <v>1898.66</v>
      </c>
      <c r="F839" s="354">
        <v>1898.66</v>
      </c>
      <c r="G839" s="354"/>
      <c r="H839" s="335">
        <v>2063</v>
      </c>
      <c r="I839" s="217"/>
    </row>
    <row r="840" spans="1:9">
      <c r="A840" s="402">
        <v>9</v>
      </c>
      <c r="B840" s="799">
        <v>330200100202000</v>
      </c>
      <c r="C840" s="320" t="s">
        <v>2451</v>
      </c>
      <c r="D840" s="329"/>
      <c r="E840" s="335">
        <f t="shared" si="13"/>
        <v>0</v>
      </c>
      <c r="F840" s="354"/>
      <c r="G840" s="354"/>
      <c r="H840" s="335">
        <v>0</v>
      </c>
      <c r="I840" s="217"/>
    </row>
    <row r="841" spans="1:9">
      <c r="A841" s="402">
        <v>9</v>
      </c>
      <c r="B841" s="799">
        <v>330200100203000</v>
      </c>
      <c r="C841" s="320" t="s">
        <v>2452</v>
      </c>
      <c r="D841" s="329"/>
      <c r="E841" s="335">
        <f t="shared" si="13"/>
        <v>45673</v>
      </c>
      <c r="F841" s="354">
        <v>45673</v>
      </c>
      <c r="G841" s="354"/>
      <c r="H841" s="335">
        <v>36521.300000000003</v>
      </c>
      <c r="I841" s="217"/>
    </row>
    <row r="842" spans="1:9" ht="24">
      <c r="A842" s="403">
        <v>8</v>
      </c>
      <c r="B842" s="802">
        <v>3302001003000</v>
      </c>
      <c r="C842" s="323" t="s">
        <v>2453</v>
      </c>
      <c r="D842" s="331"/>
      <c r="E842" s="360"/>
      <c r="F842" s="360"/>
      <c r="G842" s="360"/>
      <c r="H842" s="360">
        <v>0</v>
      </c>
      <c r="I842" s="217"/>
    </row>
    <row r="843" spans="1:9">
      <c r="A843" s="402">
        <v>9</v>
      </c>
      <c r="B843" s="799">
        <v>330200100301000</v>
      </c>
      <c r="C843" s="320" t="s">
        <v>2454</v>
      </c>
      <c r="D843" s="329"/>
      <c r="E843" s="335">
        <f t="shared" si="13"/>
        <v>9503.49</v>
      </c>
      <c r="F843" s="354">
        <v>9503.49</v>
      </c>
      <c r="G843" s="354"/>
      <c r="H843" s="335">
        <v>6902.91</v>
      </c>
      <c r="I843" s="217"/>
    </row>
    <row r="844" spans="1:9" ht="24">
      <c r="A844" s="402">
        <v>9</v>
      </c>
      <c r="B844" s="799">
        <v>330200100302000</v>
      </c>
      <c r="C844" s="320" t="s">
        <v>2455</v>
      </c>
      <c r="D844" s="329"/>
      <c r="E844" s="335">
        <f t="shared" si="13"/>
        <v>1854.84</v>
      </c>
      <c r="F844" s="354">
        <v>1854.84</v>
      </c>
      <c r="G844" s="354"/>
      <c r="H844" s="335">
        <v>1284.1199999999999</v>
      </c>
      <c r="I844" s="217"/>
    </row>
    <row r="845" spans="1:9" ht="24">
      <c r="A845" s="402">
        <v>9</v>
      </c>
      <c r="B845" s="799">
        <v>330200100303000</v>
      </c>
      <c r="C845" s="320" t="s">
        <v>2456</v>
      </c>
      <c r="D845" s="329"/>
      <c r="E845" s="335">
        <f t="shared" si="13"/>
        <v>888.88</v>
      </c>
      <c r="F845" s="354">
        <v>888.88</v>
      </c>
      <c r="G845" s="354"/>
      <c r="H845" s="335">
        <v>4181.8599999999997</v>
      </c>
      <c r="I845" s="217"/>
    </row>
    <row r="846" spans="1:9" ht="24">
      <c r="A846" s="402">
        <v>8</v>
      </c>
      <c r="B846" s="799">
        <v>330200100400000</v>
      </c>
      <c r="C846" s="320" t="s">
        <v>2457</v>
      </c>
      <c r="D846" s="329"/>
      <c r="E846" s="335">
        <f t="shared" si="13"/>
        <v>0</v>
      </c>
      <c r="F846" s="354"/>
      <c r="G846" s="354"/>
      <c r="H846" s="335">
        <v>0</v>
      </c>
      <c r="I846" s="217"/>
    </row>
    <row r="847" spans="1:9" ht="24">
      <c r="A847" s="402">
        <v>8</v>
      </c>
      <c r="B847" s="799">
        <v>330200100500000</v>
      </c>
      <c r="C847" s="320" t="s">
        <v>2458</v>
      </c>
      <c r="D847" s="329"/>
      <c r="E847" s="335">
        <f t="shared" si="13"/>
        <v>0</v>
      </c>
      <c r="F847" s="354"/>
      <c r="G847" s="354"/>
      <c r="H847" s="335">
        <v>0</v>
      </c>
      <c r="I847" s="217"/>
    </row>
    <row r="848" spans="1:9" ht="24">
      <c r="A848" s="402">
        <v>8</v>
      </c>
      <c r="B848" s="799">
        <v>330200100600000</v>
      </c>
      <c r="C848" s="320" t="s">
        <v>2459</v>
      </c>
      <c r="D848" s="329"/>
      <c r="E848" s="335">
        <f t="shared" si="13"/>
        <v>0</v>
      </c>
      <c r="F848" s="354"/>
      <c r="G848" s="354"/>
      <c r="H848" s="335">
        <v>1708.74</v>
      </c>
      <c r="I848" s="217"/>
    </row>
    <row r="849" spans="1:9" ht="24">
      <c r="A849" s="402">
        <v>8</v>
      </c>
      <c r="B849" s="799">
        <v>330200100900000</v>
      </c>
      <c r="C849" s="320" t="s">
        <v>2460</v>
      </c>
      <c r="D849" s="329"/>
      <c r="E849" s="335">
        <f t="shared" si="13"/>
        <v>97267.69</v>
      </c>
      <c r="F849" s="354">
        <v>97267.69</v>
      </c>
      <c r="G849" s="354"/>
      <c r="H849" s="335">
        <v>96008.35</v>
      </c>
      <c r="I849" s="217"/>
    </row>
    <row r="850" spans="1:9" ht="24">
      <c r="A850" s="403">
        <v>7</v>
      </c>
      <c r="B850" s="802">
        <v>3302001010000</v>
      </c>
      <c r="C850" s="323" t="s">
        <v>2461</v>
      </c>
      <c r="D850" s="331"/>
      <c r="E850" s="360"/>
      <c r="F850" s="360"/>
      <c r="G850" s="360"/>
      <c r="H850" s="360">
        <v>0</v>
      </c>
      <c r="I850" s="217"/>
    </row>
    <row r="851" spans="1:9" ht="24">
      <c r="A851" s="402">
        <v>8</v>
      </c>
      <c r="B851" s="799">
        <v>330200101100000</v>
      </c>
      <c r="C851" s="320" t="s">
        <v>2462</v>
      </c>
      <c r="D851" s="329"/>
      <c r="E851" s="335">
        <f t="shared" si="13"/>
        <v>22585.37</v>
      </c>
      <c r="F851" s="354">
        <v>22585.37</v>
      </c>
      <c r="G851" s="354"/>
      <c r="H851" s="335">
        <v>22192.51</v>
      </c>
      <c r="I851" s="217"/>
    </row>
    <row r="852" spans="1:9" ht="24">
      <c r="A852" s="403">
        <v>8</v>
      </c>
      <c r="B852" s="802">
        <v>3302001012000</v>
      </c>
      <c r="C852" s="323" t="s">
        <v>2463</v>
      </c>
      <c r="D852" s="331"/>
      <c r="E852" s="360"/>
      <c r="F852" s="360"/>
      <c r="G852" s="360"/>
      <c r="H852" s="360">
        <v>0</v>
      </c>
      <c r="I852" s="217"/>
    </row>
    <row r="853" spans="1:9" ht="24">
      <c r="A853" s="402">
        <v>9</v>
      </c>
      <c r="B853" s="799">
        <v>330200101201000</v>
      </c>
      <c r="C853" s="320" t="s">
        <v>2464</v>
      </c>
      <c r="D853" s="329"/>
      <c r="E853" s="335">
        <f t="shared" si="13"/>
        <v>147.18</v>
      </c>
      <c r="F853" s="354">
        <v>147.18</v>
      </c>
      <c r="G853" s="354"/>
      <c r="H853" s="335">
        <v>0</v>
      </c>
      <c r="I853" s="217"/>
    </row>
    <row r="854" spans="1:9" ht="24">
      <c r="A854" s="402">
        <v>9</v>
      </c>
      <c r="B854" s="799">
        <v>330200101202000</v>
      </c>
      <c r="C854" s="320" t="s">
        <v>2465</v>
      </c>
      <c r="D854" s="329"/>
      <c r="E854" s="335">
        <f t="shared" si="13"/>
        <v>0</v>
      </c>
      <c r="F854" s="354"/>
      <c r="G854" s="354"/>
      <c r="H854" s="335">
        <v>0</v>
      </c>
      <c r="I854" s="217"/>
    </row>
    <row r="855" spans="1:9">
      <c r="A855" s="402">
        <v>9</v>
      </c>
      <c r="B855" s="799">
        <v>330200101203000</v>
      </c>
      <c r="C855" s="320" t="s">
        <v>2466</v>
      </c>
      <c r="D855" s="329"/>
      <c r="E855" s="335">
        <f t="shared" si="13"/>
        <v>2855</v>
      </c>
      <c r="F855" s="354">
        <v>2855</v>
      </c>
      <c r="G855" s="354"/>
      <c r="H855" s="335">
        <v>1817.39</v>
      </c>
      <c r="I855" s="217"/>
    </row>
    <row r="856" spans="1:9" ht="24">
      <c r="A856" s="403">
        <v>8</v>
      </c>
      <c r="B856" s="802">
        <v>3302001013000</v>
      </c>
      <c r="C856" s="323" t="s">
        <v>2467</v>
      </c>
      <c r="D856" s="331"/>
      <c r="E856" s="360"/>
      <c r="F856" s="360"/>
      <c r="G856" s="360"/>
      <c r="H856" s="360">
        <v>0</v>
      </c>
      <c r="I856" s="217"/>
    </row>
    <row r="857" spans="1:9" ht="24">
      <c r="A857" s="402">
        <v>9</v>
      </c>
      <c r="B857" s="799">
        <v>330200101301000</v>
      </c>
      <c r="C857" s="320" t="s">
        <v>2468</v>
      </c>
      <c r="D857" s="329"/>
      <c r="E857" s="335">
        <f t="shared" si="13"/>
        <v>0</v>
      </c>
      <c r="F857" s="354"/>
      <c r="G857" s="354"/>
      <c r="H857" s="335">
        <v>0</v>
      </c>
      <c r="I857" s="217"/>
    </row>
    <row r="858" spans="1:9" ht="24">
      <c r="A858" s="402">
        <v>9</v>
      </c>
      <c r="B858" s="799">
        <v>330200101302000</v>
      </c>
      <c r="C858" s="320" t="s">
        <v>2469</v>
      </c>
      <c r="D858" s="329"/>
      <c r="E858" s="335">
        <f t="shared" si="13"/>
        <v>0</v>
      </c>
      <c r="F858" s="354"/>
      <c r="G858" s="354"/>
      <c r="H858" s="335">
        <v>0</v>
      </c>
      <c r="I858" s="217"/>
    </row>
    <row r="859" spans="1:9" ht="24">
      <c r="A859" s="402">
        <v>9</v>
      </c>
      <c r="B859" s="799">
        <v>330200101303000</v>
      </c>
      <c r="C859" s="320" t="s">
        <v>2470</v>
      </c>
      <c r="D859" s="329"/>
      <c r="E859" s="335">
        <f t="shared" si="13"/>
        <v>124.15</v>
      </c>
      <c r="F859" s="354">
        <v>124.15</v>
      </c>
      <c r="G859" s="354"/>
      <c r="H859" s="335">
        <v>114.6</v>
      </c>
      <c r="I859" s="217"/>
    </row>
    <row r="860" spans="1:9" ht="24">
      <c r="A860" s="402">
        <v>8</v>
      </c>
      <c r="B860" s="799">
        <v>330200101400000</v>
      </c>
      <c r="C860" s="320" t="s">
        <v>2471</v>
      </c>
      <c r="D860" s="329"/>
      <c r="E860" s="335">
        <f t="shared" si="13"/>
        <v>0</v>
      </c>
      <c r="F860" s="354"/>
      <c r="G860" s="354"/>
      <c r="H860" s="335">
        <v>0</v>
      </c>
      <c r="I860" s="217"/>
    </row>
    <row r="861" spans="1:9" ht="24">
      <c r="A861" s="402">
        <v>8</v>
      </c>
      <c r="B861" s="799">
        <v>330200101500000</v>
      </c>
      <c r="C861" s="320" t="s">
        <v>2472</v>
      </c>
      <c r="D861" s="329"/>
      <c r="E861" s="335">
        <f t="shared" si="13"/>
        <v>0</v>
      </c>
      <c r="F861" s="354"/>
      <c r="G861" s="354"/>
      <c r="H861" s="335">
        <v>0</v>
      </c>
      <c r="I861" s="217"/>
    </row>
    <row r="862" spans="1:9" ht="24">
      <c r="A862" s="402">
        <v>8</v>
      </c>
      <c r="B862" s="799">
        <v>330200101600000</v>
      </c>
      <c r="C862" s="320" t="s">
        <v>2473</v>
      </c>
      <c r="D862" s="329"/>
      <c r="E862" s="335">
        <f t="shared" si="13"/>
        <v>0</v>
      </c>
      <c r="F862" s="354"/>
      <c r="G862" s="354"/>
      <c r="H862" s="335">
        <v>0</v>
      </c>
      <c r="I862" s="217"/>
    </row>
    <row r="863" spans="1:9" ht="24">
      <c r="A863" s="402">
        <v>8</v>
      </c>
      <c r="B863" s="799">
        <v>330200101900000</v>
      </c>
      <c r="C863" s="320" t="s">
        <v>2474</v>
      </c>
      <c r="D863" s="329"/>
      <c r="E863" s="335">
        <f t="shared" si="13"/>
        <v>7549.1</v>
      </c>
      <c r="F863" s="354">
        <v>7549.1</v>
      </c>
      <c r="G863" s="354"/>
      <c r="H863" s="335">
        <v>6626.88</v>
      </c>
      <c r="I863" s="217"/>
    </row>
    <row r="864" spans="1:9" ht="25.5">
      <c r="A864" s="401">
        <v>6</v>
      </c>
      <c r="B864" s="800" t="s">
        <v>940</v>
      </c>
      <c r="C864" s="317" t="s">
        <v>1634</v>
      </c>
      <c r="D864" s="328"/>
      <c r="E864" s="359"/>
      <c r="F864" s="359"/>
      <c r="G864" s="359"/>
      <c r="H864" s="359">
        <v>0</v>
      </c>
    </row>
    <row r="865" spans="1:9" ht="24">
      <c r="A865" s="403">
        <v>7</v>
      </c>
      <c r="B865" s="802">
        <v>3302002000000</v>
      </c>
      <c r="C865" s="323" t="s">
        <v>2475</v>
      </c>
      <c r="D865" s="331"/>
      <c r="E865" s="360"/>
      <c r="F865" s="360"/>
      <c r="G865" s="360"/>
      <c r="H865" s="360">
        <v>0</v>
      </c>
      <c r="I865" s="217"/>
    </row>
    <row r="866" spans="1:9" ht="24">
      <c r="A866" s="402">
        <v>8</v>
      </c>
      <c r="B866" s="799">
        <v>330200200100000</v>
      </c>
      <c r="C866" s="320" t="s">
        <v>2476</v>
      </c>
      <c r="D866" s="329"/>
      <c r="E866" s="335">
        <f t="shared" si="13"/>
        <v>0</v>
      </c>
      <c r="F866" s="354"/>
      <c r="G866" s="354"/>
      <c r="H866" s="335">
        <v>0</v>
      </c>
      <c r="I866" s="217"/>
    </row>
    <row r="867" spans="1:9" ht="24">
      <c r="A867" s="403">
        <v>8</v>
      </c>
      <c r="B867" s="802">
        <v>3302002002000</v>
      </c>
      <c r="C867" s="323" t="s">
        <v>2477</v>
      </c>
      <c r="D867" s="331"/>
      <c r="E867" s="360"/>
      <c r="F867" s="360"/>
      <c r="G867" s="360"/>
      <c r="H867" s="360">
        <v>0</v>
      </c>
      <c r="I867" s="217"/>
    </row>
    <row r="868" spans="1:9" ht="24">
      <c r="A868" s="402">
        <v>9</v>
      </c>
      <c r="B868" s="799">
        <v>330200200201000</v>
      </c>
      <c r="C868" s="320" t="s">
        <v>2478</v>
      </c>
      <c r="D868" s="329"/>
      <c r="E868" s="335">
        <f t="shared" si="13"/>
        <v>0</v>
      </c>
      <c r="F868" s="354"/>
      <c r="G868" s="354"/>
      <c r="H868" s="335">
        <v>0</v>
      </c>
      <c r="I868" s="217"/>
    </row>
    <row r="869" spans="1:9">
      <c r="A869" s="402">
        <v>9</v>
      </c>
      <c r="B869" s="799">
        <v>330200200202000</v>
      </c>
      <c r="C869" s="320" t="s">
        <v>2479</v>
      </c>
      <c r="D869" s="329"/>
      <c r="E869" s="335">
        <f t="shared" si="13"/>
        <v>0</v>
      </c>
      <c r="F869" s="354"/>
      <c r="G869" s="354"/>
      <c r="H869" s="335">
        <v>0</v>
      </c>
      <c r="I869" s="217"/>
    </row>
    <row r="870" spans="1:9">
      <c r="A870" s="402">
        <v>9</v>
      </c>
      <c r="B870" s="799">
        <v>330200200203000</v>
      </c>
      <c r="C870" s="320" t="s">
        <v>2480</v>
      </c>
      <c r="D870" s="329"/>
      <c r="E870" s="335">
        <f t="shared" si="13"/>
        <v>0</v>
      </c>
      <c r="F870" s="354"/>
      <c r="G870" s="354"/>
      <c r="H870" s="335">
        <v>0</v>
      </c>
      <c r="I870" s="217"/>
    </row>
    <row r="871" spans="1:9" ht="24">
      <c r="A871" s="403">
        <v>8</v>
      </c>
      <c r="B871" s="802">
        <v>3302002003000</v>
      </c>
      <c r="C871" s="323" t="s">
        <v>2481</v>
      </c>
      <c r="D871" s="331"/>
      <c r="E871" s="360"/>
      <c r="F871" s="360"/>
      <c r="G871" s="360"/>
      <c r="H871" s="360">
        <v>0</v>
      </c>
      <c r="I871" s="217"/>
    </row>
    <row r="872" spans="1:9">
      <c r="A872" s="402">
        <v>9</v>
      </c>
      <c r="B872" s="799">
        <v>330200200301000</v>
      </c>
      <c r="C872" s="320" t="s">
        <v>2482</v>
      </c>
      <c r="D872" s="329"/>
      <c r="E872" s="335">
        <f t="shared" si="13"/>
        <v>0</v>
      </c>
      <c r="F872" s="354"/>
      <c r="G872" s="354"/>
      <c r="H872" s="335">
        <v>0</v>
      </c>
      <c r="I872" s="217"/>
    </row>
    <row r="873" spans="1:9" ht="24">
      <c r="A873" s="402">
        <v>9</v>
      </c>
      <c r="B873" s="799">
        <v>330200200302000</v>
      </c>
      <c r="C873" s="320" t="s">
        <v>2483</v>
      </c>
      <c r="D873" s="329"/>
      <c r="E873" s="335">
        <f t="shared" si="13"/>
        <v>0</v>
      </c>
      <c r="F873" s="354"/>
      <c r="G873" s="354"/>
      <c r="H873" s="335">
        <v>0</v>
      </c>
      <c r="I873" s="217"/>
    </row>
    <row r="874" spans="1:9" ht="24">
      <c r="A874" s="402">
        <v>9</v>
      </c>
      <c r="B874" s="799">
        <v>330200200303000</v>
      </c>
      <c r="C874" s="320" t="s">
        <v>2484</v>
      </c>
      <c r="D874" s="329"/>
      <c r="E874" s="335">
        <f t="shared" si="13"/>
        <v>0</v>
      </c>
      <c r="F874" s="354"/>
      <c r="G874" s="354"/>
      <c r="H874" s="335">
        <v>0</v>
      </c>
      <c r="I874" s="217"/>
    </row>
    <row r="875" spans="1:9" ht="24">
      <c r="A875" s="402">
        <v>8</v>
      </c>
      <c r="B875" s="799">
        <v>330200200400000</v>
      </c>
      <c r="C875" s="320" t="s">
        <v>2485</v>
      </c>
      <c r="D875" s="329"/>
      <c r="E875" s="335">
        <f t="shared" si="13"/>
        <v>0</v>
      </c>
      <c r="F875" s="354"/>
      <c r="G875" s="354"/>
      <c r="H875" s="335">
        <v>0</v>
      </c>
      <c r="I875" s="217"/>
    </row>
    <row r="876" spans="1:9" ht="24">
      <c r="A876" s="402">
        <v>8</v>
      </c>
      <c r="B876" s="799">
        <v>330200200500000</v>
      </c>
      <c r="C876" s="320" t="s">
        <v>2486</v>
      </c>
      <c r="D876" s="329"/>
      <c r="E876" s="335">
        <f t="shared" si="13"/>
        <v>0</v>
      </c>
      <c r="F876" s="354"/>
      <c r="G876" s="354"/>
      <c r="H876" s="335">
        <v>0</v>
      </c>
      <c r="I876" s="217"/>
    </row>
    <row r="877" spans="1:9" ht="24">
      <c r="A877" s="402">
        <v>8</v>
      </c>
      <c r="B877" s="799">
        <v>330200200600000</v>
      </c>
      <c r="C877" s="320" t="s">
        <v>2487</v>
      </c>
      <c r="D877" s="329"/>
      <c r="E877" s="335">
        <f t="shared" si="13"/>
        <v>0</v>
      </c>
      <c r="F877" s="354"/>
      <c r="G877" s="354"/>
      <c r="H877" s="335">
        <v>0</v>
      </c>
      <c r="I877" s="217"/>
    </row>
    <row r="878" spans="1:9" ht="24">
      <c r="A878" s="402">
        <v>8</v>
      </c>
      <c r="B878" s="799">
        <v>330200200900000</v>
      </c>
      <c r="C878" s="320" t="s">
        <v>2488</v>
      </c>
      <c r="D878" s="329"/>
      <c r="E878" s="335">
        <f t="shared" si="13"/>
        <v>0</v>
      </c>
      <c r="F878" s="354"/>
      <c r="G878" s="354"/>
      <c r="H878" s="335">
        <v>0</v>
      </c>
      <c r="I878" s="217"/>
    </row>
    <row r="879" spans="1:9" ht="24">
      <c r="A879" s="403">
        <v>7</v>
      </c>
      <c r="B879" s="802">
        <v>3302002010000</v>
      </c>
      <c r="C879" s="323" t="s">
        <v>2489</v>
      </c>
      <c r="D879" s="331"/>
      <c r="E879" s="360"/>
      <c r="F879" s="360"/>
      <c r="G879" s="360"/>
      <c r="H879" s="360">
        <v>0</v>
      </c>
      <c r="I879" s="217"/>
    </row>
    <row r="880" spans="1:9" ht="24">
      <c r="A880" s="402">
        <v>8</v>
      </c>
      <c r="B880" s="799">
        <v>330200201100000</v>
      </c>
      <c r="C880" s="320" t="s">
        <v>2490</v>
      </c>
      <c r="D880" s="329"/>
      <c r="E880" s="335">
        <f t="shared" si="13"/>
        <v>0</v>
      </c>
      <c r="F880" s="354"/>
      <c r="G880" s="354"/>
      <c r="H880" s="335">
        <v>0</v>
      </c>
      <c r="I880" s="217"/>
    </row>
    <row r="881" spans="1:9" ht="24">
      <c r="A881" s="403">
        <v>8</v>
      </c>
      <c r="B881" s="802">
        <v>3302002012000</v>
      </c>
      <c r="C881" s="323" t="s">
        <v>2491</v>
      </c>
      <c r="D881" s="331"/>
      <c r="E881" s="360"/>
      <c r="F881" s="360"/>
      <c r="G881" s="360"/>
      <c r="H881" s="360">
        <v>0</v>
      </c>
      <c r="I881" s="217"/>
    </row>
    <row r="882" spans="1:9" ht="24">
      <c r="A882" s="402">
        <v>9</v>
      </c>
      <c r="B882" s="799">
        <v>330200201201000</v>
      </c>
      <c r="C882" s="320" t="s">
        <v>2492</v>
      </c>
      <c r="D882" s="329"/>
      <c r="E882" s="335">
        <f t="shared" si="13"/>
        <v>0</v>
      </c>
      <c r="F882" s="354"/>
      <c r="G882" s="354"/>
      <c r="H882" s="335">
        <v>0</v>
      </c>
      <c r="I882" s="217"/>
    </row>
    <row r="883" spans="1:9" ht="24">
      <c r="A883" s="402">
        <v>9</v>
      </c>
      <c r="B883" s="799">
        <v>330200201202000</v>
      </c>
      <c r="C883" s="320" t="s">
        <v>2493</v>
      </c>
      <c r="D883" s="329"/>
      <c r="E883" s="335">
        <f t="shared" si="13"/>
        <v>0</v>
      </c>
      <c r="F883" s="354"/>
      <c r="G883" s="354"/>
      <c r="H883" s="335">
        <v>0</v>
      </c>
      <c r="I883" s="217"/>
    </row>
    <row r="884" spans="1:9">
      <c r="A884" s="402">
        <v>9</v>
      </c>
      <c r="B884" s="799">
        <v>330200201203000</v>
      </c>
      <c r="C884" s="320" t="s">
        <v>2494</v>
      </c>
      <c r="D884" s="329"/>
      <c r="E884" s="335">
        <f t="shared" si="13"/>
        <v>0</v>
      </c>
      <c r="F884" s="354"/>
      <c r="G884" s="354"/>
      <c r="H884" s="335">
        <v>0</v>
      </c>
      <c r="I884" s="217"/>
    </row>
    <row r="885" spans="1:9" ht="24">
      <c r="A885" s="403">
        <v>8</v>
      </c>
      <c r="B885" s="802">
        <v>3302002013000</v>
      </c>
      <c r="C885" s="323" t="s">
        <v>2495</v>
      </c>
      <c r="D885" s="331"/>
      <c r="E885" s="360"/>
      <c r="F885" s="360"/>
      <c r="G885" s="360"/>
      <c r="H885" s="360">
        <v>0</v>
      </c>
      <c r="I885" s="217"/>
    </row>
    <row r="886" spans="1:9" ht="24">
      <c r="A886" s="402">
        <v>9</v>
      </c>
      <c r="B886" s="799">
        <v>330200201301000</v>
      </c>
      <c r="C886" s="320" t="s">
        <v>2496</v>
      </c>
      <c r="D886" s="329"/>
      <c r="E886" s="335">
        <f t="shared" si="13"/>
        <v>0</v>
      </c>
      <c r="F886" s="354"/>
      <c r="G886" s="354"/>
      <c r="H886" s="335">
        <v>0</v>
      </c>
      <c r="I886" s="217"/>
    </row>
    <row r="887" spans="1:9" ht="24">
      <c r="A887" s="402">
        <v>9</v>
      </c>
      <c r="B887" s="799">
        <v>330200201302000</v>
      </c>
      <c r="C887" s="320" t="s">
        <v>2497</v>
      </c>
      <c r="D887" s="329"/>
      <c r="E887" s="335">
        <f t="shared" si="13"/>
        <v>0</v>
      </c>
      <c r="F887" s="354"/>
      <c r="G887" s="354"/>
      <c r="H887" s="335">
        <v>0</v>
      </c>
      <c r="I887" s="217"/>
    </row>
    <row r="888" spans="1:9" ht="24">
      <c r="A888" s="402">
        <v>9</v>
      </c>
      <c r="B888" s="799">
        <v>330200201303000</v>
      </c>
      <c r="C888" s="320" t="s">
        <v>2498</v>
      </c>
      <c r="D888" s="329"/>
      <c r="E888" s="335">
        <f t="shared" si="13"/>
        <v>0</v>
      </c>
      <c r="F888" s="354"/>
      <c r="G888" s="354"/>
      <c r="H888" s="335">
        <v>0</v>
      </c>
      <c r="I888" s="217"/>
    </row>
    <row r="889" spans="1:9" ht="24">
      <c r="A889" s="402">
        <v>8</v>
      </c>
      <c r="B889" s="799">
        <v>330200201400000</v>
      </c>
      <c r="C889" s="320" t="s">
        <v>2499</v>
      </c>
      <c r="D889" s="329"/>
      <c r="E889" s="335">
        <f t="shared" ref="E889:E953" si="15">+F889+G889</f>
        <v>0</v>
      </c>
      <c r="F889" s="354"/>
      <c r="G889" s="354"/>
      <c r="H889" s="335">
        <v>0</v>
      </c>
      <c r="I889" s="217"/>
    </row>
    <row r="890" spans="1:9" ht="24">
      <c r="A890" s="402">
        <v>8</v>
      </c>
      <c r="B890" s="799">
        <v>330200201500000</v>
      </c>
      <c r="C890" s="320" t="s">
        <v>2500</v>
      </c>
      <c r="D890" s="329"/>
      <c r="E890" s="335">
        <f t="shared" si="15"/>
        <v>0</v>
      </c>
      <c r="F890" s="354"/>
      <c r="G890" s="354"/>
      <c r="H890" s="335">
        <v>0</v>
      </c>
      <c r="I890" s="217"/>
    </row>
    <row r="891" spans="1:9" ht="24">
      <c r="A891" s="402">
        <v>8</v>
      </c>
      <c r="B891" s="799">
        <v>330200201600000</v>
      </c>
      <c r="C891" s="320" t="s">
        <v>2501</v>
      </c>
      <c r="D891" s="329"/>
      <c r="E891" s="335">
        <f t="shared" si="15"/>
        <v>0</v>
      </c>
      <c r="F891" s="354"/>
      <c r="G891" s="354"/>
      <c r="H891" s="335">
        <v>0</v>
      </c>
      <c r="I891" s="217"/>
    </row>
    <row r="892" spans="1:9" ht="24">
      <c r="A892" s="402">
        <v>8</v>
      </c>
      <c r="B892" s="799">
        <v>330200201900000</v>
      </c>
      <c r="C892" s="320" t="s">
        <v>2502</v>
      </c>
      <c r="D892" s="329"/>
      <c r="E892" s="335">
        <f t="shared" si="15"/>
        <v>0</v>
      </c>
      <c r="F892" s="354"/>
      <c r="G892" s="354"/>
      <c r="H892" s="335">
        <v>0</v>
      </c>
      <c r="I892" s="217"/>
    </row>
    <row r="893" spans="1:9">
      <c r="A893" s="401">
        <v>6</v>
      </c>
      <c r="B893" s="800" t="s">
        <v>942</v>
      </c>
      <c r="C893" s="317" t="s">
        <v>1635</v>
      </c>
      <c r="D893" s="328"/>
      <c r="E893" s="359"/>
      <c r="F893" s="359"/>
      <c r="G893" s="359"/>
      <c r="H893" s="359">
        <v>0</v>
      </c>
    </row>
    <row r="894" spans="1:9">
      <c r="A894" s="402">
        <v>7</v>
      </c>
      <c r="B894" s="799">
        <v>330200300000000</v>
      </c>
      <c r="C894" s="320" t="s">
        <v>941</v>
      </c>
      <c r="D894" s="329"/>
      <c r="E894" s="335">
        <f t="shared" si="15"/>
        <v>0</v>
      </c>
      <c r="F894" s="354"/>
      <c r="G894" s="354"/>
      <c r="H894" s="335">
        <v>0</v>
      </c>
      <c r="I894" s="217"/>
    </row>
    <row r="895" spans="1:9">
      <c r="A895" s="402">
        <v>7</v>
      </c>
      <c r="B895" s="799">
        <v>330200400000000</v>
      </c>
      <c r="C895" s="320" t="s">
        <v>2651</v>
      </c>
      <c r="D895" s="329"/>
      <c r="E895" s="335"/>
      <c r="F895" s="354"/>
      <c r="G895" s="354"/>
      <c r="H895" s="335"/>
      <c r="I895" s="217"/>
    </row>
    <row r="896" spans="1:9">
      <c r="A896" s="401">
        <v>4</v>
      </c>
      <c r="B896" s="800" t="s">
        <v>943</v>
      </c>
      <c r="C896" s="317" t="s">
        <v>2503</v>
      </c>
      <c r="D896" s="328"/>
      <c r="E896" s="359"/>
      <c r="F896" s="359"/>
      <c r="G896" s="359"/>
      <c r="H896" s="359">
        <v>0</v>
      </c>
    </row>
    <row r="897" spans="1:9">
      <c r="A897" s="401">
        <v>5</v>
      </c>
      <c r="B897" s="800" t="s">
        <v>944</v>
      </c>
      <c r="C897" s="317" t="s">
        <v>1637</v>
      </c>
      <c r="D897" s="328"/>
      <c r="E897" s="359"/>
      <c r="F897" s="359"/>
      <c r="G897" s="359"/>
      <c r="H897" s="359">
        <v>0</v>
      </c>
    </row>
    <row r="898" spans="1:9" ht="25.5">
      <c r="A898" s="401">
        <v>6</v>
      </c>
      <c r="B898" s="800" t="s">
        <v>945</v>
      </c>
      <c r="C898" s="317" t="s">
        <v>1638</v>
      </c>
      <c r="D898" s="328"/>
      <c r="E898" s="359"/>
      <c r="F898" s="359"/>
      <c r="G898" s="359"/>
      <c r="H898" s="359">
        <v>0</v>
      </c>
    </row>
    <row r="899" spans="1:9" ht="24">
      <c r="A899" s="402">
        <v>7</v>
      </c>
      <c r="B899" s="799">
        <v>335100100100000</v>
      </c>
      <c r="C899" s="320" t="s">
        <v>2504</v>
      </c>
      <c r="D899" s="329"/>
      <c r="E899" s="335">
        <f t="shared" si="15"/>
        <v>838125.83</v>
      </c>
      <c r="F899" s="354">
        <v>838125.83</v>
      </c>
      <c r="G899" s="354"/>
      <c r="H899" s="335">
        <v>765885.1</v>
      </c>
      <c r="I899" s="217"/>
    </row>
    <row r="900" spans="1:9" ht="24">
      <c r="A900" s="402">
        <v>7</v>
      </c>
      <c r="B900" s="799">
        <v>335100100200000</v>
      </c>
      <c r="C900" s="320" t="s">
        <v>2505</v>
      </c>
      <c r="D900" s="329"/>
      <c r="E900" s="335">
        <f t="shared" si="15"/>
        <v>245714.78</v>
      </c>
      <c r="F900" s="354">
        <v>245714.78</v>
      </c>
      <c r="G900" s="354"/>
      <c r="H900" s="335">
        <v>270230.37</v>
      </c>
      <c r="I900" s="217"/>
    </row>
    <row r="901" spans="1:9" ht="24">
      <c r="A901" s="402">
        <v>7</v>
      </c>
      <c r="B901" s="799">
        <v>335100100300000</v>
      </c>
      <c r="C901" s="320" t="s">
        <v>2506</v>
      </c>
      <c r="D901" s="329"/>
      <c r="E901" s="335">
        <f t="shared" si="15"/>
        <v>247108.59</v>
      </c>
      <c r="F901" s="354">
        <v>247108.59</v>
      </c>
      <c r="G901" s="354"/>
      <c r="H901" s="335">
        <v>161508.15</v>
      </c>
      <c r="I901" s="217"/>
    </row>
    <row r="902" spans="1:9" ht="24">
      <c r="A902" s="402">
        <v>7</v>
      </c>
      <c r="B902" s="799">
        <v>335100100400000</v>
      </c>
      <c r="C902" s="320" t="s">
        <v>2507</v>
      </c>
      <c r="D902" s="329"/>
      <c r="E902" s="335">
        <f t="shared" si="15"/>
        <v>0</v>
      </c>
      <c r="F902" s="354"/>
      <c r="G902" s="354"/>
      <c r="H902" s="335">
        <v>0</v>
      </c>
      <c r="I902" s="217"/>
    </row>
    <row r="903" spans="1:9" ht="24">
      <c r="A903" s="402">
        <v>7</v>
      </c>
      <c r="B903" s="799">
        <v>335100100500000</v>
      </c>
      <c r="C903" s="320" t="s">
        <v>2508</v>
      </c>
      <c r="D903" s="329"/>
      <c r="E903" s="335">
        <f t="shared" si="15"/>
        <v>0</v>
      </c>
      <c r="F903" s="354"/>
      <c r="G903" s="354"/>
      <c r="H903" s="335">
        <v>0</v>
      </c>
      <c r="I903" s="217"/>
    </row>
    <row r="904" spans="1:9" ht="24">
      <c r="A904" s="402">
        <v>7</v>
      </c>
      <c r="B904" s="799">
        <v>335100100600000</v>
      </c>
      <c r="C904" s="320" t="s">
        <v>2509</v>
      </c>
      <c r="D904" s="329"/>
      <c r="E904" s="335">
        <f t="shared" si="15"/>
        <v>0</v>
      </c>
      <c r="F904" s="354"/>
      <c r="G904" s="354"/>
      <c r="H904" s="335">
        <v>0</v>
      </c>
      <c r="I904" s="217"/>
    </row>
    <row r="905" spans="1:9" ht="24">
      <c r="A905" s="402">
        <v>7</v>
      </c>
      <c r="B905" s="799">
        <v>335100100700000</v>
      </c>
      <c r="C905" s="320" t="s">
        <v>2510</v>
      </c>
      <c r="D905" s="329"/>
      <c r="E905" s="335">
        <f t="shared" si="15"/>
        <v>36844.35</v>
      </c>
      <c r="F905" s="354">
        <v>36844.35</v>
      </c>
      <c r="G905" s="354"/>
      <c r="H905" s="335">
        <v>36844.35</v>
      </c>
      <c r="I905" s="217"/>
    </row>
    <row r="906" spans="1:9" ht="24">
      <c r="A906" s="402">
        <v>7</v>
      </c>
      <c r="B906" s="799">
        <v>335100100900000</v>
      </c>
      <c r="C906" s="320" t="s">
        <v>2511</v>
      </c>
      <c r="D906" s="329"/>
      <c r="E906" s="335">
        <f t="shared" si="15"/>
        <v>362449.71</v>
      </c>
      <c r="F906" s="354">
        <v>362449.71</v>
      </c>
      <c r="G906" s="354"/>
      <c r="H906" s="335">
        <v>335796.4</v>
      </c>
      <c r="I906" s="217"/>
    </row>
    <row r="907" spans="1:9" ht="25.5">
      <c r="A907" s="401">
        <v>6</v>
      </c>
      <c r="B907" s="800" t="s">
        <v>946</v>
      </c>
      <c r="C907" s="317" t="s">
        <v>1639</v>
      </c>
      <c r="D907" s="328"/>
      <c r="E907" s="359"/>
      <c r="F907" s="359"/>
      <c r="G907" s="359"/>
      <c r="H907" s="359">
        <v>0</v>
      </c>
    </row>
    <row r="908" spans="1:9" ht="24">
      <c r="A908" s="402">
        <v>7</v>
      </c>
      <c r="B908" s="799">
        <v>335100200100000</v>
      </c>
      <c r="C908" s="320" t="s">
        <v>2512</v>
      </c>
      <c r="D908" s="329"/>
      <c r="E908" s="335">
        <f t="shared" si="15"/>
        <v>47667.91</v>
      </c>
      <c r="F908" s="354">
        <v>47667.91</v>
      </c>
      <c r="G908" s="354"/>
      <c r="H908" s="335">
        <v>75644.62</v>
      </c>
      <c r="I908" s="217"/>
    </row>
    <row r="909" spans="1:9" ht="24">
      <c r="A909" s="402">
        <v>7</v>
      </c>
      <c r="B909" s="799">
        <v>335100200200000</v>
      </c>
      <c r="C909" s="320" t="s">
        <v>2513</v>
      </c>
      <c r="D909" s="329"/>
      <c r="E909" s="335">
        <f t="shared" si="15"/>
        <v>5774.99</v>
      </c>
      <c r="F909" s="354">
        <v>5774.99</v>
      </c>
      <c r="G909" s="354"/>
      <c r="H909" s="335">
        <v>9152.6299999999992</v>
      </c>
      <c r="I909" s="217"/>
    </row>
    <row r="910" spans="1:9" ht="24">
      <c r="A910" s="402">
        <v>7</v>
      </c>
      <c r="B910" s="799">
        <v>335100200300000</v>
      </c>
      <c r="C910" s="320" t="s">
        <v>2514</v>
      </c>
      <c r="D910" s="329"/>
      <c r="E910" s="335">
        <f t="shared" si="15"/>
        <v>5920</v>
      </c>
      <c r="F910" s="354">
        <v>5920</v>
      </c>
      <c r="G910" s="354"/>
      <c r="H910" s="335">
        <v>8790</v>
      </c>
      <c r="I910" s="217"/>
    </row>
    <row r="911" spans="1:9" ht="24">
      <c r="A911" s="402">
        <v>7</v>
      </c>
      <c r="B911" s="799">
        <v>335100200400000</v>
      </c>
      <c r="C911" s="320" t="s">
        <v>2515</v>
      </c>
      <c r="D911" s="329"/>
      <c r="E911" s="335">
        <f t="shared" si="15"/>
        <v>0</v>
      </c>
      <c r="F911" s="354"/>
      <c r="G911" s="354"/>
      <c r="H911" s="335">
        <v>0</v>
      </c>
      <c r="I911" s="217"/>
    </row>
    <row r="912" spans="1:9" ht="24">
      <c r="A912" s="402">
        <v>7</v>
      </c>
      <c r="B912" s="799">
        <v>335100200500000</v>
      </c>
      <c r="C912" s="320" t="s">
        <v>2516</v>
      </c>
      <c r="D912" s="329"/>
      <c r="E912" s="335">
        <f t="shared" si="15"/>
        <v>0</v>
      </c>
      <c r="F912" s="354"/>
      <c r="G912" s="354"/>
      <c r="H912" s="335">
        <v>0</v>
      </c>
      <c r="I912" s="217"/>
    </row>
    <row r="913" spans="1:9" ht="24">
      <c r="A913" s="402">
        <v>7</v>
      </c>
      <c r="B913" s="799">
        <v>335100200600000</v>
      </c>
      <c r="C913" s="320" t="s">
        <v>2517</v>
      </c>
      <c r="D913" s="329"/>
      <c r="E913" s="335">
        <f t="shared" si="15"/>
        <v>0</v>
      </c>
      <c r="F913" s="354"/>
      <c r="G913" s="354"/>
      <c r="H913" s="335">
        <v>0</v>
      </c>
      <c r="I913" s="217"/>
    </row>
    <row r="914" spans="1:9" ht="24">
      <c r="A914" s="402">
        <v>7</v>
      </c>
      <c r="B914" s="799">
        <v>335100200700000</v>
      </c>
      <c r="C914" s="320" t="s">
        <v>2518</v>
      </c>
      <c r="D914" s="329"/>
      <c r="E914" s="335">
        <f t="shared" si="15"/>
        <v>0</v>
      </c>
      <c r="F914" s="354"/>
      <c r="G914" s="354"/>
      <c r="H914" s="335">
        <v>0</v>
      </c>
      <c r="I914" s="217"/>
    </row>
    <row r="915" spans="1:9" ht="24">
      <c r="A915" s="402">
        <v>7</v>
      </c>
      <c r="B915" s="799">
        <v>335100200900000</v>
      </c>
      <c r="C915" s="320" t="s">
        <v>2519</v>
      </c>
      <c r="D915" s="329"/>
      <c r="E915" s="335">
        <f t="shared" si="15"/>
        <v>18470.580000000002</v>
      </c>
      <c r="F915" s="354">
        <v>18470.580000000002</v>
      </c>
      <c r="G915" s="354"/>
      <c r="H915" s="335">
        <v>28726.62</v>
      </c>
      <c r="I915" s="217"/>
    </row>
    <row r="916" spans="1:9" ht="25.5">
      <c r="A916" s="401">
        <v>6</v>
      </c>
      <c r="B916" s="800" t="s">
        <v>948</v>
      </c>
      <c r="C916" s="317" t="s">
        <v>1640</v>
      </c>
      <c r="D916" s="328"/>
      <c r="E916" s="359"/>
      <c r="F916" s="359"/>
      <c r="G916" s="359"/>
      <c r="H916" s="359">
        <v>0</v>
      </c>
    </row>
    <row r="917" spans="1:9">
      <c r="A917" s="402">
        <v>7</v>
      </c>
      <c r="B917" s="799">
        <v>335100300000000</v>
      </c>
      <c r="C917" s="320" t="s">
        <v>947</v>
      </c>
      <c r="D917" s="329"/>
      <c r="E917" s="335">
        <f t="shared" si="15"/>
        <v>0</v>
      </c>
      <c r="F917" s="354"/>
      <c r="G917" s="354"/>
      <c r="H917" s="335">
        <v>0</v>
      </c>
      <c r="I917" s="217"/>
    </row>
    <row r="918" spans="1:9">
      <c r="A918" s="401">
        <v>5</v>
      </c>
      <c r="B918" s="800" t="s">
        <v>949</v>
      </c>
      <c r="C918" s="317" t="s">
        <v>1641</v>
      </c>
      <c r="D918" s="328"/>
      <c r="E918" s="359"/>
      <c r="F918" s="359"/>
      <c r="G918" s="359"/>
      <c r="H918" s="359">
        <v>0</v>
      </c>
    </row>
    <row r="919" spans="1:9" ht="25.5">
      <c r="A919" s="401">
        <v>6</v>
      </c>
      <c r="B919" s="800" t="s">
        <v>950</v>
      </c>
      <c r="C919" s="317" t="s">
        <v>1642</v>
      </c>
      <c r="D919" s="328"/>
      <c r="E919" s="359"/>
      <c r="F919" s="359"/>
      <c r="G919" s="359"/>
      <c r="H919" s="359">
        <v>0</v>
      </c>
    </row>
    <row r="920" spans="1:9" ht="24">
      <c r="A920" s="402">
        <v>7</v>
      </c>
      <c r="B920" s="799">
        <v>335200100100000</v>
      </c>
      <c r="C920" s="320" t="s">
        <v>2520</v>
      </c>
      <c r="D920" s="329"/>
      <c r="E920" s="335">
        <f t="shared" si="15"/>
        <v>2778001.87</v>
      </c>
      <c r="F920" s="354">
        <v>2778001.87</v>
      </c>
      <c r="G920" s="354"/>
      <c r="H920" s="335">
        <v>2126517.56</v>
      </c>
      <c r="I920" s="217"/>
    </row>
    <row r="921" spans="1:9" ht="24">
      <c r="A921" s="403">
        <v>7</v>
      </c>
      <c r="B921" s="802">
        <v>3352001002000</v>
      </c>
      <c r="C921" s="323" t="s">
        <v>2521</v>
      </c>
      <c r="D921" s="331"/>
      <c r="E921" s="360"/>
      <c r="F921" s="360"/>
      <c r="G921" s="360"/>
      <c r="H921" s="360">
        <v>0</v>
      </c>
      <c r="I921" s="217"/>
    </row>
    <row r="922" spans="1:9" ht="24">
      <c r="A922" s="402">
        <v>8</v>
      </c>
      <c r="B922" s="799">
        <v>335200100201000</v>
      </c>
      <c r="C922" s="320" t="s">
        <v>2522</v>
      </c>
      <c r="D922" s="329"/>
      <c r="E922" s="335">
        <f t="shared" si="15"/>
        <v>11962.82</v>
      </c>
      <c r="F922" s="354">
        <v>11962.82</v>
      </c>
      <c r="G922" s="354"/>
      <c r="H922" s="335">
        <v>17540</v>
      </c>
      <c r="I922" s="217"/>
    </row>
    <row r="923" spans="1:9" ht="24">
      <c r="A923" s="402">
        <v>8</v>
      </c>
      <c r="B923" s="799">
        <v>335200100202000</v>
      </c>
      <c r="C923" s="320" t="s">
        <v>2523</v>
      </c>
      <c r="D923" s="329"/>
      <c r="E923" s="335">
        <f t="shared" si="15"/>
        <v>0</v>
      </c>
      <c r="F923" s="354"/>
      <c r="G923" s="354"/>
      <c r="H923" s="335">
        <v>0</v>
      </c>
      <c r="I923" s="217"/>
    </row>
    <row r="924" spans="1:9">
      <c r="A924" s="402">
        <v>8</v>
      </c>
      <c r="B924" s="799">
        <v>335200100203000</v>
      </c>
      <c r="C924" s="320" t="s">
        <v>2524</v>
      </c>
      <c r="D924" s="329"/>
      <c r="E924" s="335">
        <f t="shared" si="15"/>
        <v>417475.84000000003</v>
      </c>
      <c r="F924" s="354">
        <v>417475.84000000003</v>
      </c>
      <c r="G924" s="354"/>
      <c r="H924" s="335">
        <v>415868.81</v>
      </c>
      <c r="I924" s="217"/>
    </row>
    <row r="925" spans="1:9" ht="24">
      <c r="A925" s="403">
        <v>7</v>
      </c>
      <c r="B925" s="802">
        <v>3352001003000</v>
      </c>
      <c r="C925" s="323" t="s">
        <v>2525</v>
      </c>
      <c r="D925" s="331"/>
      <c r="E925" s="360"/>
      <c r="F925" s="360"/>
      <c r="G925" s="360"/>
      <c r="H925" s="360">
        <v>0</v>
      </c>
      <c r="I925" s="217"/>
    </row>
    <row r="926" spans="1:9" ht="24">
      <c r="A926" s="402">
        <v>8</v>
      </c>
      <c r="B926" s="799">
        <v>335200100301000</v>
      </c>
      <c r="C926" s="320" t="s">
        <v>2526</v>
      </c>
      <c r="D926" s="329"/>
      <c r="E926" s="335">
        <f t="shared" si="15"/>
        <v>96743.65</v>
      </c>
      <c r="F926" s="354">
        <v>96743.65</v>
      </c>
      <c r="G926" s="354"/>
      <c r="H926" s="335">
        <v>54884.75</v>
      </c>
      <c r="I926" s="217"/>
    </row>
    <row r="927" spans="1:9" ht="24">
      <c r="A927" s="402">
        <v>8</v>
      </c>
      <c r="B927" s="799">
        <v>335200100302000</v>
      </c>
      <c r="C927" s="320" t="s">
        <v>2527</v>
      </c>
      <c r="D927" s="329"/>
      <c r="E927" s="335">
        <f t="shared" si="15"/>
        <v>103161.97</v>
      </c>
      <c r="F927" s="354">
        <v>103161.97</v>
      </c>
      <c r="G927" s="354"/>
      <c r="H927" s="335">
        <v>75986.67</v>
      </c>
      <c r="I927" s="217"/>
    </row>
    <row r="928" spans="1:9" ht="24">
      <c r="A928" s="402">
        <v>8</v>
      </c>
      <c r="B928" s="799">
        <v>335200100303000</v>
      </c>
      <c r="C928" s="320" t="s">
        <v>2528</v>
      </c>
      <c r="D928" s="329"/>
      <c r="E928" s="335">
        <f t="shared" si="15"/>
        <v>56451.95</v>
      </c>
      <c r="F928" s="354">
        <v>56451.95</v>
      </c>
      <c r="G928" s="354"/>
      <c r="H928" s="335">
        <v>101302.55</v>
      </c>
      <c r="I928" s="217"/>
    </row>
    <row r="929" spans="1:9" ht="24">
      <c r="A929" s="402">
        <v>7</v>
      </c>
      <c r="B929" s="799">
        <v>335200100400000</v>
      </c>
      <c r="C929" s="320" t="s">
        <v>2529</v>
      </c>
      <c r="D929" s="329"/>
      <c r="E929" s="335">
        <f t="shared" si="15"/>
        <v>0</v>
      </c>
      <c r="F929" s="354"/>
      <c r="G929" s="354"/>
      <c r="H929" s="335">
        <v>0</v>
      </c>
      <c r="I929" s="217"/>
    </row>
    <row r="930" spans="1:9" ht="24">
      <c r="A930" s="402">
        <v>7</v>
      </c>
      <c r="B930" s="799">
        <v>335200100500000</v>
      </c>
      <c r="C930" s="320" t="s">
        <v>2530</v>
      </c>
      <c r="D930" s="329"/>
      <c r="E930" s="335">
        <f t="shared" si="15"/>
        <v>0</v>
      </c>
      <c r="F930" s="354"/>
      <c r="G930" s="354"/>
      <c r="H930" s="335">
        <v>0</v>
      </c>
      <c r="I930" s="217"/>
    </row>
    <row r="931" spans="1:9" ht="24">
      <c r="A931" s="402">
        <v>7</v>
      </c>
      <c r="B931" s="799">
        <v>335200100600000</v>
      </c>
      <c r="C931" s="320" t="s">
        <v>2531</v>
      </c>
      <c r="D931" s="329"/>
      <c r="E931" s="335">
        <f t="shared" si="15"/>
        <v>4939.37</v>
      </c>
      <c r="F931" s="354">
        <v>4939.37</v>
      </c>
      <c r="G931" s="354"/>
      <c r="H931" s="335">
        <v>9889.0300000000007</v>
      </c>
      <c r="I931" s="217"/>
    </row>
    <row r="932" spans="1:9" ht="24">
      <c r="A932" s="402">
        <v>7</v>
      </c>
      <c r="B932" s="799">
        <v>335200100900000</v>
      </c>
      <c r="C932" s="320" t="s">
        <v>2532</v>
      </c>
      <c r="D932" s="329"/>
      <c r="E932" s="335">
        <f t="shared" si="15"/>
        <v>1008528.89</v>
      </c>
      <c r="F932" s="354">
        <v>1008528.89</v>
      </c>
      <c r="G932" s="354"/>
      <c r="H932" s="335">
        <v>811815.56</v>
      </c>
      <c r="I932" s="217"/>
    </row>
    <row r="933" spans="1:9" ht="25.5">
      <c r="A933" s="401">
        <v>6</v>
      </c>
      <c r="B933" s="800" t="s">
        <v>951</v>
      </c>
      <c r="C933" s="317" t="s">
        <v>1643</v>
      </c>
      <c r="D933" s="328"/>
      <c r="E933" s="359"/>
      <c r="F933" s="359"/>
      <c r="G933" s="359"/>
      <c r="H933" s="359">
        <v>0</v>
      </c>
    </row>
    <row r="934" spans="1:9" ht="24">
      <c r="A934" s="402">
        <v>7</v>
      </c>
      <c r="B934" s="799">
        <v>335200200100000</v>
      </c>
      <c r="C934" s="320" t="s">
        <v>2533</v>
      </c>
      <c r="D934" s="329"/>
      <c r="E934" s="335">
        <f t="shared" si="15"/>
        <v>281305.63</v>
      </c>
      <c r="F934" s="354">
        <v>281305.63</v>
      </c>
      <c r="G934" s="354"/>
      <c r="H934" s="335">
        <v>425926.91</v>
      </c>
      <c r="I934" s="217"/>
    </row>
    <row r="935" spans="1:9" ht="24">
      <c r="A935" s="403">
        <v>7</v>
      </c>
      <c r="B935" s="802">
        <v>3352002002000</v>
      </c>
      <c r="C935" s="323" t="s">
        <v>2534</v>
      </c>
      <c r="D935" s="331"/>
      <c r="E935" s="360"/>
      <c r="F935" s="360"/>
      <c r="G935" s="360"/>
      <c r="H935" s="360">
        <v>0</v>
      </c>
      <c r="I935" s="217"/>
    </row>
    <row r="936" spans="1:9" ht="24">
      <c r="A936" s="402">
        <v>8</v>
      </c>
      <c r="B936" s="799">
        <v>335200200201000</v>
      </c>
      <c r="C936" s="320" t="s">
        <v>2535</v>
      </c>
      <c r="D936" s="329"/>
      <c r="E936" s="335">
        <f t="shared" si="15"/>
        <v>670.83</v>
      </c>
      <c r="F936" s="354">
        <v>670.83</v>
      </c>
      <c r="G936" s="354"/>
      <c r="H936" s="335">
        <v>1032</v>
      </c>
      <c r="I936" s="217"/>
    </row>
    <row r="937" spans="1:9" ht="24">
      <c r="A937" s="402">
        <v>8</v>
      </c>
      <c r="B937" s="799">
        <v>335200200202000</v>
      </c>
      <c r="C937" s="320" t="s">
        <v>2536</v>
      </c>
      <c r="D937" s="329"/>
      <c r="E937" s="335">
        <f t="shared" si="15"/>
        <v>0</v>
      </c>
      <c r="F937" s="354"/>
      <c r="G937" s="354"/>
      <c r="H937" s="335">
        <v>0</v>
      </c>
      <c r="I937" s="217"/>
    </row>
    <row r="938" spans="1:9">
      <c r="A938" s="402">
        <v>8</v>
      </c>
      <c r="B938" s="799">
        <v>335200200203000</v>
      </c>
      <c r="C938" s="320" t="s">
        <v>2537</v>
      </c>
      <c r="D938" s="329"/>
      <c r="E938" s="335">
        <f t="shared" si="15"/>
        <v>17841</v>
      </c>
      <c r="F938" s="354">
        <v>17841</v>
      </c>
      <c r="G938" s="354"/>
      <c r="H938" s="335">
        <v>15236.73</v>
      </c>
      <c r="I938" s="217"/>
    </row>
    <row r="939" spans="1:9" ht="24">
      <c r="A939" s="403">
        <v>7</v>
      </c>
      <c r="B939" s="802">
        <v>3352002003000</v>
      </c>
      <c r="C939" s="323" t="s">
        <v>2538</v>
      </c>
      <c r="D939" s="331"/>
      <c r="E939" s="360"/>
      <c r="F939" s="360"/>
      <c r="G939" s="360"/>
      <c r="H939" s="360">
        <v>0</v>
      </c>
      <c r="I939" s="217"/>
    </row>
    <row r="940" spans="1:9" ht="24">
      <c r="A940" s="402">
        <v>8</v>
      </c>
      <c r="B940" s="799">
        <v>335200200301000</v>
      </c>
      <c r="C940" s="320" t="s">
        <v>2539</v>
      </c>
      <c r="D940" s="329"/>
      <c r="E940" s="335">
        <f t="shared" si="15"/>
        <v>4209.99</v>
      </c>
      <c r="F940" s="354">
        <v>4209.99</v>
      </c>
      <c r="G940" s="354"/>
      <c r="H940" s="335">
        <v>1692.24</v>
      </c>
      <c r="I940" s="217"/>
    </row>
    <row r="941" spans="1:9" ht="24">
      <c r="A941" s="402">
        <v>8</v>
      </c>
      <c r="B941" s="799">
        <v>335200200302000</v>
      </c>
      <c r="C941" s="320" t="s">
        <v>2540</v>
      </c>
      <c r="D941" s="329"/>
      <c r="E941" s="335">
        <f t="shared" si="15"/>
        <v>0</v>
      </c>
      <c r="F941" s="354"/>
      <c r="G941" s="354"/>
      <c r="H941" s="335">
        <v>0</v>
      </c>
      <c r="I941" s="217"/>
    </row>
    <row r="942" spans="1:9" ht="24">
      <c r="A942" s="402">
        <v>8</v>
      </c>
      <c r="B942" s="799">
        <v>335200200303000</v>
      </c>
      <c r="C942" s="320" t="s">
        <v>2541</v>
      </c>
      <c r="D942" s="329"/>
      <c r="E942" s="335">
        <f t="shared" si="15"/>
        <v>6724.79</v>
      </c>
      <c r="F942" s="354">
        <v>6724.79</v>
      </c>
      <c r="G942" s="354"/>
      <c r="H942" s="335">
        <v>15337.66</v>
      </c>
      <c r="I942" s="217"/>
    </row>
    <row r="943" spans="1:9" ht="24">
      <c r="A943" s="402">
        <v>7</v>
      </c>
      <c r="B943" s="799">
        <v>335200200400000</v>
      </c>
      <c r="C943" s="320" t="s">
        <v>2542</v>
      </c>
      <c r="D943" s="329"/>
      <c r="E943" s="335">
        <f t="shared" si="15"/>
        <v>0</v>
      </c>
      <c r="F943" s="354"/>
      <c r="G943" s="354"/>
      <c r="H943" s="335">
        <v>0</v>
      </c>
      <c r="I943" s="217"/>
    </row>
    <row r="944" spans="1:9" ht="24">
      <c r="A944" s="402">
        <v>7</v>
      </c>
      <c r="B944" s="799">
        <v>335200200500000</v>
      </c>
      <c r="C944" s="320" t="s">
        <v>2543</v>
      </c>
      <c r="D944" s="329"/>
      <c r="E944" s="335">
        <f t="shared" si="15"/>
        <v>0</v>
      </c>
      <c r="F944" s="354"/>
      <c r="G944" s="354"/>
      <c r="H944" s="335">
        <v>0</v>
      </c>
      <c r="I944" s="217"/>
    </row>
    <row r="945" spans="1:9" ht="24">
      <c r="A945" s="402">
        <v>7</v>
      </c>
      <c r="B945" s="799">
        <v>335200200600000</v>
      </c>
      <c r="C945" s="320" t="s">
        <v>2544</v>
      </c>
      <c r="D945" s="329"/>
      <c r="E945" s="335">
        <f t="shared" si="15"/>
        <v>3436.82</v>
      </c>
      <c r="F945" s="354">
        <v>3436.82</v>
      </c>
      <c r="G945" s="354"/>
      <c r="H945" s="335">
        <v>27494.26</v>
      </c>
      <c r="I945" s="217"/>
    </row>
    <row r="946" spans="1:9" ht="24">
      <c r="A946" s="402">
        <v>7</v>
      </c>
      <c r="B946" s="799">
        <v>335200200900000</v>
      </c>
      <c r="C946" s="320" t="s">
        <v>2545</v>
      </c>
      <c r="D946" s="329"/>
      <c r="E946" s="335">
        <f t="shared" si="15"/>
        <v>96178.17</v>
      </c>
      <c r="F946" s="354">
        <v>96178.17</v>
      </c>
      <c r="G946" s="354"/>
      <c r="H946" s="335">
        <v>149318.34</v>
      </c>
      <c r="I946" s="217"/>
    </row>
    <row r="947" spans="1:9" ht="25.5">
      <c r="A947" s="401">
        <v>6</v>
      </c>
      <c r="B947" s="800" t="s">
        <v>953</v>
      </c>
      <c r="C947" s="317" t="s">
        <v>1644</v>
      </c>
      <c r="D947" s="328"/>
      <c r="E947" s="359"/>
      <c r="F947" s="359"/>
      <c r="G947" s="359"/>
      <c r="H947" s="359">
        <v>0</v>
      </c>
    </row>
    <row r="948" spans="1:9">
      <c r="A948" s="402">
        <v>7</v>
      </c>
      <c r="B948" s="799">
        <v>335200300000000</v>
      </c>
      <c r="C948" s="320" t="s">
        <v>952</v>
      </c>
      <c r="D948" s="329"/>
      <c r="E948" s="335">
        <f t="shared" si="15"/>
        <v>0</v>
      </c>
      <c r="F948" s="354"/>
      <c r="G948" s="354"/>
      <c r="H948" s="335">
        <v>0</v>
      </c>
      <c r="I948" s="217"/>
    </row>
    <row r="949" spans="1:9">
      <c r="A949" s="401" t="s">
        <v>1963</v>
      </c>
      <c r="B949" s="800" t="s">
        <v>954</v>
      </c>
      <c r="C949" s="317" t="s">
        <v>2546</v>
      </c>
      <c r="D949" s="328"/>
      <c r="E949" s="359"/>
      <c r="F949" s="359"/>
      <c r="G949" s="359"/>
      <c r="H949" s="359">
        <v>0</v>
      </c>
    </row>
    <row r="950" spans="1:9">
      <c r="A950" s="401" t="s">
        <v>1965</v>
      </c>
      <c r="B950" s="800" t="s">
        <v>955</v>
      </c>
      <c r="C950" s="317" t="s">
        <v>2547</v>
      </c>
      <c r="D950" s="328"/>
      <c r="E950" s="359"/>
      <c r="F950" s="359"/>
      <c r="G950" s="359"/>
      <c r="H950" s="359">
        <v>0</v>
      </c>
    </row>
    <row r="951" spans="1:9">
      <c r="A951" s="402">
        <v>5</v>
      </c>
      <c r="B951" s="799">
        <v>340100100000000</v>
      </c>
      <c r="C951" s="320" t="s">
        <v>956</v>
      </c>
      <c r="D951" s="329"/>
      <c r="E951" s="335">
        <f t="shared" si="15"/>
        <v>3049</v>
      </c>
      <c r="F951" s="354">
        <v>3049</v>
      </c>
      <c r="G951" s="354"/>
      <c r="H951" s="335">
        <v>2632.5</v>
      </c>
      <c r="I951" s="217"/>
    </row>
    <row r="952" spans="1:9">
      <c r="A952" s="402">
        <v>5</v>
      </c>
      <c r="B952" s="799">
        <v>340100200000000</v>
      </c>
      <c r="C952" s="320" t="s">
        <v>957</v>
      </c>
      <c r="D952" s="329"/>
      <c r="E952" s="335">
        <f t="shared" si="15"/>
        <v>32177.98</v>
      </c>
      <c r="F952" s="354">
        <v>32177.98</v>
      </c>
      <c r="G952" s="354"/>
      <c r="H952" s="335">
        <v>31230.7</v>
      </c>
      <c r="I952" s="217"/>
    </row>
    <row r="953" spans="1:9">
      <c r="A953" s="402">
        <v>5</v>
      </c>
      <c r="B953" s="799">
        <v>340100300000000</v>
      </c>
      <c r="C953" s="320" t="s">
        <v>958</v>
      </c>
      <c r="D953" s="329"/>
      <c r="E953" s="335">
        <f t="shared" si="15"/>
        <v>0</v>
      </c>
      <c r="F953" s="354"/>
      <c r="G953" s="354"/>
      <c r="H953" s="335">
        <v>0</v>
      </c>
      <c r="I953" s="217"/>
    </row>
    <row r="954" spans="1:9">
      <c r="A954" s="402">
        <v>5</v>
      </c>
      <c r="B954" s="799">
        <v>340100400000000</v>
      </c>
      <c r="C954" s="320" t="s">
        <v>959</v>
      </c>
      <c r="D954" s="329"/>
      <c r="E954" s="335">
        <f t="shared" ref="E954:E1017" si="16">+F954+G954</f>
        <v>16413.900000000001</v>
      </c>
      <c r="F954" s="355">
        <v>16413.900000000001</v>
      </c>
      <c r="G954" s="355"/>
      <c r="H954" s="335">
        <v>22330</v>
      </c>
      <c r="I954" s="217"/>
    </row>
    <row r="955" spans="1:9">
      <c r="A955" s="402">
        <v>5</v>
      </c>
      <c r="B955" s="799">
        <v>340100500000000</v>
      </c>
      <c r="C955" s="320" t="s">
        <v>960</v>
      </c>
      <c r="D955" s="329"/>
      <c r="E955" s="335">
        <f t="shared" si="16"/>
        <v>871.51</v>
      </c>
      <c r="F955" s="354">
        <v>871.51</v>
      </c>
      <c r="G955" s="354"/>
      <c r="H955" s="335">
        <v>778.8</v>
      </c>
      <c r="I955" s="217"/>
    </row>
    <row r="956" spans="1:9">
      <c r="A956" s="402">
        <v>5</v>
      </c>
      <c r="B956" s="799">
        <v>340100600000000</v>
      </c>
      <c r="C956" s="320" t="s">
        <v>961</v>
      </c>
      <c r="D956" s="329"/>
      <c r="E956" s="335">
        <f t="shared" si="16"/>
        <v>0</v>
      </c>
      <c r="F956" s="354"/>
      <c r="G956" s="354"/>
      <c r="H956" s="335">
        <v>0</v>
      </c>
      <c r="I956" s="217"/>
    </row>
    <row r="957" spans="1:9">
      <c r="A957" s="402">
        <v>5</v>
      </c>
      <c r="B957" s="799">
        <v>340100900000000</v>
      </c>
      <c r="C957" s="320" t="s">
        <v>962</v>
      </c>
      <c r="D957" s="329"/>
      <c r="E957" s="335">
        <f t="shared" si="16"/>
        <v>23713.55</v>
      </c>
      <c r="F957" s="354">
        <v>23713.55</v>
      </c>
      <c r="G957" s="354"/>
      <c r="H957" s="335">
        <v>9513.65</v>
      </c>
      <c r="I957" s="217"/>
    </row>
    <row r="958" spans="1:9">
      <c r="A958" s="401" t="s">
        <v>1965</v>
      </c>
      <c r="B958" s="800" t="s">
        <v>964</v>
      </c>
      <c r="C958" s="317" t="s">
        <v>2548</v>
      </c>
      <c r="D958" s="328"/>
      <c r="E958" s="359"/>
      <c r="F958" s="359"/>
      <c r="G958" s="359"/>
      <c r="H958" s="359">
        <v>0</v>
      </c>
    </row>
    <row r="959" spans="1:9">
      <c r="A959" s="402" t="s">
        <v>1967</v>
      </c>
      <c r="B959" s="799">
        <v>340200000000000</v>
      </c>
      <c r="C959" s="320" t="s">
        <v>963</v>
      </c>
      <c r="D959" s="329"/>
      <c r="E959" s="335">
        <f t="shared" si="16"/>
        <v>0</v>
      </c>
      <c r="F959" s="354"/>
      <c r="G959" s="354"/>
      <c r="H959" s="335">
        <v>0</v>
      </c>
      <c r="I959" s="217"/>
    </row>
    <row r="960" spans="1:9">
      <c r="A960" s="401" t="s">
        <v>1965</v>
      </c>
      <c r="B960" s="800" t="s">
        <v>966</v>
      </c>
      <c r="C960" s="317" t="s">
        <v>1648</v>
      </c>
      <c r="D960" s="328"/>
      <c r="E960" s="359"/>
      <c r="F960" s="359"/>
      <c r="G960" s="359"/>
      <c r="H960" s="359">
        <v>0</v>
      </c>
    </row>
    <row r="961" spans="1:9" ht="25.5">
      <c r="A961" s="401" t="s">
        <v>1967</v>
      </c>
      <c r="B961" s="800" t="s">
        <v>967</v>
      </c>
      <c r="C961" s="317" t="s">
        <v>2549</v>
      </c>
      <c r="D961" s="328"/>
      <c r="E961" s="359"/>
      <c r="F961" s="359"/>
      <c r="G961" s="359"/>
      <c r="H961" s="359">
        <v>0</v>
      </c>
    </row>
    <row r="962" spans="1:9">
      <c r="A962" s="404">
        <v>6</v>
      </c>
      <c r="B962" s="802">
        <v>3403001001000</v>
      </c>
      <c r="C962" s="323" t="s">
        <v>968</v>
      </c>
      <c r="D962" s="330"/>
      <c r="E962" s="356"/>
      <c r="F962" s="356"/>
      <c r="G962" s="356"/>
      <c r="H962" s="356">
        <v>0</v>
      </c>
      <c r="I962" s="217"/>
    </row>
    <row r="963" spans="1:9">
      <c r="A963" s="402">
        <v>7</v>
      </c>
      <c r="B963" s="799">
        <v>340300100101000</v>
      </c>
      <c r="C963" s="320" t="s">
        <v>2550</v>
      </c>
      <c r="D963" s="329"/>
      <c r="E963" s="335">
        <f t="shared" si="16"/>
        <v>551576.05000000005</v>
      </c>
      <c r="F963" s="354">
        <v>551576.05000000005</v>
      </c>
      <c r="G963" s="354"/>
      <c r="H963" s="335">
        <v>623880.01</v>
      </c>
      <c r="I963" s="217"/>
    </row>
    <row r="964" spans="1:9">
      <c r="A964" s="402">
        <v>7</v>
      </c>
      <c r="B964" s="799">
        <v>340300100103000</v>
      </c>
      <c r="C964" s="320" t="s">
        <v>2551</v>
      </c>
      <c r="D964" s="329"/>
      <c r="E964" s="335">
        <f t="shared" si="16"/>
        <v>137367.26</v>
      </c>
      <c r="F964" s="354">
        <v>137367.26</v>
      </c>
      <c r="G964" s="354"/>
      <c r="H964" s="335">
        <v>167181.26</v>
      </c>
      <c r="I964" s="217"/>
    </row>
    <row r="965" spans="1:9">
      <c r="A965" s="402">
        <v>7</v>
      </c>
      <c r="B965" s="799">
        <v>340300100109000</v>
      </c>
      <c r="C965" s="320" t="s">
        <v>969</v>
      </c>
      <c r="D965" s="329"/>
      <c r="E965" s="335">
        <f t="shared" si="16"/>
        <v>9317.5300000000007</v>
      </c>
      <c r="F965" s="354">
        <v>9317.5300000000007</v>
      </c>
      <c r="G965" s="354"/>
      <c r="H965" s="335">
        <v>1840.82</v>
      </c>
      <c r="I965" s="217"/>
    </row>
    <row r="966" spans="1:9">
      <c r="A966" s="404">
        <v>6</v>
      </c>
      <c r="B966" s="802">
        <v>3403001002000</v>
      </c>
      <c r="C966" s="323" t="s">
        <v>970</v>
      </c>
      <c r="D966" s="330"/>
      <c r="E966" s="356"/>
      <c r="F966" s="356"/>
      <c r="G966" s="356"/>
      <c r="H966" s="356">
        <v>0</v>
      </c>
      <c r="I966" s="217"/>
    </row>
    <row r="967" spans="1:9">
      <c r="A967" s="402">
        <v>7</v>
      </c>
      <c r="B967" s="799">
        <v>340300100201000</v>
      </c>
      <c r="C967" s="320" t="s">
        <v>2552</v>
      </c>
      <c r="D967" s="329"/>
      <c r="E967" s="335">
        <f t="shared" si="16"/>
        <v>58742.04</v>
      </c>
      <c r="F967" s="354">
        <v>58742.04</v>
      </c>
      <c r="G967" s="354"/>
      <c r="H967" s="335">
        <v>58742.04</v>
      </c>
      <c r="I967" s="217"/>
    </row>
    <row r="968" spans="1:9">
      <c r="A968" s="402">
        <v>7</v>
      </c>
      <c r="B968" s="799">
        <v>340300100203000</v>
      </c>
      <c r="C968" s="320" t="s">
        <v>2553</v>
      </c>
      <c r="D968" s="329"/>
      <c r="E968" s="335">
        <f t="shared" si="16"/>
        <v>0</v>
      </c>
      <c r="F968" s="354"/>
      <c r="G968" s="354"/>
      <c r="H968" s="335">
        <v>0</v>
      </c>
      <c r="I968" s="217"/>
    </row>
    <row r="969" spans="1:9">
      <c r="A969" s="402">
        <v>7</v>
      </c>
      <c r="B969" s="799">
        <v>340300100209000</v>
      </c>
      <c r="C969" s="320" t="s">
        <v>971</v>
      </c>
      <c r="D969" s="329"/>
      <c r="E969" s="335">
        <f t="shared" si="16"/>
        <v>675</v>
      </c>
      <c r="F969" s="354">
        <v>675</v>
      </c>
      <c r="G969" s="354"/>
      <c r="H969" s="335">
        <v>2256.25</v>
      </c>
      <c r="I969" s="217"/>
    </row>
    <row r="970" spans="1:9">
      <c r="A970" s="404">
        <v>6</v>
      </c>
      <c r="B970" s="802">
        <v>3403001003000</v>
      </c>
      <c r="C970" s="323" t="s">
        <v>972</v>
      </c>
      <c r="D970" s="330"/>
      <c r="E970" s="356"/>
      <c r="F970" s="356"/>
      <c r="G970" s="356"/>
      <c r="H970" s="356">
        <v>0</v>
      </c>
      <c r="I970" s="217"/>
    </row>
    <row r="971" spans="1:9">
      <c r="A971" s="402">
        <v>7</v>
      </c>
      <c r="B971" s="799">
        <v>340300100301000</v>
      </c>
      <c r="C971" s="320" t="s">
        <v>2554</v>
      </c>
      <c r="D971" s="329"/>
      <c r="E971" s="335">
        <f t="shared" si="16"/>
        <v>10043.629999999999</v>
      </c>
      <c r="F971" s="354">
        <v>10043.629999999999</v>
      </c>
      <c r="G971" s="354"/>
      <c r="H971" s="335">
        <v>17400</v>
      </c>
      <c r="I971" s="217"/>
    </row>
    <row r="972" spans="1:9">
      <c r="A972" s="402">
        <v>7</v>
      </c>
      <c r="B972" s="799">
        <v>340300100303000</v>
      </c>
      <c r="C972" s="320" t="s">
        <v>2555</v>
      </c>
      <c r="D972" s="329"/>
      <c r="E972" s="335">
        <f t="shared" si="16"/>
        <v>1831.29</v>
      </c>
      <c r="F972" s="354">
        <v>1831.29</v>
      </c>
      <c r="G972" s="354"/>
      <c r="H972" s="335">
        <v>3850.99</v>
      </c>
      <c r="I972" s="217"/>
    </row>
    <row r="973" spans="1:9">
      <c r="A973" s="402">
        <v>7</v>
      </c>
      <c r="B973" s="799">
        <v>340300100309000</v>
      </c>
      <c r="C973" s="320" t="s">
        <v>973</v>
      </c>
      <c r="D973" s="329"/>
      <c r="E973" s="335">
        <f t="shared" si="16"/>
        <v>0</v>
      </c>
      <c r="F973" s="354"/>
      <c r="G973" s="354"/>
      <c r="H973" s="335">
        <v>0</v>
      </c>
      <c r="I973" s="217"/>
    </row>
    <row r="974" spans="1:9">
      <c r="A974" s="401" t="s">
        <v>1967</v>
      </c>
      <c r="B974" s="800" t="s">
        <v>974</v>
      </c>
      <c r="C974" s="317" t="s">
        <v>2556</v>
      </c>
      <c r="D974" s="328"/>
      <c r="E974" s="359"/>
      <c r="F974" s="359"/>
      <c r="G974" s="359"/>
      <c r="H974" s="359">
        <v>0</v>
      </c>
    </row>
    <row r="975" spans="1:9">
      <c r="A975" s="402">
        <v>6</v>
      </c>
      <c r="B975" s="799">
        <v>340300200100000</v>
      </c>
      <c r="C975" s="320" t="s">
        <v>975</v>
      </c>
      <c r="D975" s="329"/>
      <c r="E975" s="335">
        <f t="shared" si="16"/>
        <v>0</v>
      </c>
      <c r="F975" s="354"/>
      <c r="G975" s="354"/>
      <c r="H975" s="335">
        <v>0</v>
      </c>
      <c r="I975" s="217"/>
    </row>
    <row r="976" spans="1:9" s="223" customFormat="1">
      <c r="A976" s="402">
        <v>6</v>
      </c>
      <c r="B976" s="801">
        <v>340300200200000</v>
      </c>
      <c r="C976" s="320" t="s">
        <v>976</v>
      </c>
      <c r="D976" s="329"/>
      <c r="E976" s="335">
        <f t="shared" si="16"/>
        <v>276.32</v>
      </c>
      <c r="F976" s="354">
        <v>276.32</v>
      </c>
      <c r="G976" s="354"/>
      <c r="H976" s="335">
        <v>432.06</v>
      </c>
      <c r="I976" s="217"/>
    </row>
    <row r="977" spans="1:9" s="223" customFormat="1">
      <c r="A977" s="402">
        <v>6</v>
      </c>
      <c r="B977" s="801">
        <v>340300200900000</v>
      </c>
      <c r="C977" s="320" t="s">
        <v>965</v>
      </c>
      <c r="D977" s="329"/>
      <c r="E977" s="335">
        <f t="shared" si="16"/>
        <v>0</v>
      </c>
      <c r="F977" s="354"/>
      <c r="G977" s="354"/>
      <c r="H977" s="335">
        <v>0</v>
      </c>
      <c r="I977" s="217"/>
    </row>
    <row r="978" spans="1:9" ht="25.5">
      <c r="A978" s="401" t="s">
        <v>1967</v>
      </c>
      <c r="B978" s="800" t="s">
        <v>978</v>
      </c>
      <c r="C978" s="317" t="s">
        <v>1651</v>
      </c>
      <c r="D978" s="328" t="s">
        <v>1248</v>
      </c>
      <c r="E978" s="359"/>
      <c r="F978" s="359"/>
      <c r="G978" s="359"/>
      <c r="H978" s="359">
        <v>0</v>
      </c>
    </row>
    <row r="979" spans="1:9" ht="24">
      <c r="A979" s="402" t="s">
        <v>1969</v>
      </c>
      <c r="B979" s="799">
        <v>340300300000000</v>
      </c>
      <c r="C979" s="320" t="s">
        <v>977</v>
      </c>
      <c r="D979" s="329" t="s">
        <v>1248</v>
      </c>
      <c r="E979" s="335">
        <f t="shared" si="16"/>
        <v>0</v>
      </c>
      <c r="F979" s="354"/>
      <c r="G979" s="354"/>
      <c r="H979" s="335">
        <v>0</v>
      </c>
      <c r="I979" s="217"/>
    </row>
    <row r="980" spans="1:9" ht="25.5">
      <c r="A980" s="401" t="s">
        <v>1967</v>
      </c>
      <c r="B980" s="800" t="s">
        <v>980</v>
      </c>
      <c r="C980" s="317" t="s">
        <v>1652</v>
      </c>
      <c r="D980" s="328"/>
      <c r="E980" s="359"/>
      <c r="F980" s="359"/>
      <c r="G980" s="359"/>
      <c r="H980" s="359">
        <v>0</v>
      </c>
    </row>
    <row r="981" spans="1:9">
      <c r="A981" s="402" t="s">
        <v>1969</v>
      </c>
      <c r="B981" s="799">
        <v>340300400000000</v>
      </c>
      <c r="C981" s="320" t="s">
        <v>979</v>
      </c>
      <c r="D981" s="329"/>
      <c r="E981" s="335">
        <f t="shared" si="16"/>
        <v>0</v>
      </c>
      <c r="F981" s="354"/>
      <c r="G981" s="354"/>
      <c r="H981" s="335">
        <v>0</v>
      </c>
      <c r="I981" s="217"/>
    </row>
    <row r="982" spans="1:9">
      <c r="A982" s="401">
        <v>4</v>
      </c>
      <c r="B982" s="800" t="s">
        <v>981</v>
      </c>
      <c r="C982" s="317" t="s">
        <v>1655</v>
      </c>
      <c r="D982" s="328"/>
      <c r="E982" s="359"/>
      <c r="F982" s="359"/>
      <c r="G982" s="359"/>
      <c r="H982" s="359">
        <v>0</v>
      </c>
    </row>
    <row r="983" spans="1:9">
      <c r="A983" s="402">
        <v>5</v>
      </c>
      <c r="B983" s="799">
        <v>345100000000000</v>
      </c>
      <c r="C983" s="320" t="s">
        <v>982</v>
      </c>
      <c r="D983" s="329"/>
      <c r="E983" s="335">
        <f t="shared" si="16"/>
        <v>0</v>
      </c>
      <c r="F983" s="354"/>
      <c r="G983" s="354"/>
      <c r="H983" s="335">
        <v>0</v>
      </c>
      <c r="I983" s="217"/>
    </row>
    <row r="984" spans="1:9">
      <c r="A984" s="402">
        <v>5</v>
      </c>
      <c r="B984" s="799">
        <v>345200000000000</v>
      </c>
      <c r="C984" s="320" t="s">
        <v>983</v>
      </c>
      <c r="D984" s="329"/>
      <c r="E984" s="335">
        <f t="shared" si="16"/>
        <v>0</v>
      </c>
      <c r="F984" s="354"/>
      <c r="G984" s="354"/>
      <c r="H984" s="335">
        <v>0</v>
      </c>
      <c r="I984" s="217"/>
    </row>
    <row r="985" spans="1:9" ht="24">
      <c r="A985" s="402">
        <v>5</v>
      </c>
      <c r="B985" s="799">
        <v>345300000000000</v>
      </c>
      <c r="C985" s="320" t="s">
        <v>2557</v>
      </c>
      <c r="D985" s="329"/>
      <c r="E985" s="335">
        <f t="shared" si="16"/>
        <v>0</v>
      </c>
      <c r="F985" s="354"/>
      <c r="G985" s="354"/>
      <c r="H985" s="335">
        <v>0</v>
      </c>
      <c r="I985" s="217"/>
    </row>
    <row r="986" spans="1:9" ht="24">
      <c r="A986" s="402">
        <v>5</v>
      </c>
      <c r="B986" s="799">
        <v>345400000000000</v>
      </c>
      <c r="C986" s="320" t="s">
        <v>984</v>
      </c>
      <c r="D986" s="329"/>
      <c r="E986" s="335">
        <f t="shared" si="16"/>
        <v>0</v>
      </c>
      <c r="F986" s="354"/>
      <c r="G986" s="354"/>
      <c r="H986" s="335">
        <v>0</v>
      </c>
      <c r="I986" s="217"/>
    </row>
    <row r="987" spans="1:9">
      <c r="A987" s="402">
        <v>5</v>
      </c>
      <c r="B987" s="799">
        <v>345500000000000</v>
      </c>
      <c r="C987" s="320" t="s">
        <v>985</v>
      </c>
      <c r="D987" s="329"/>
      <c r="E987" s="335">
        <f t="shared" si="16"/>
        <v>0</v>
      </c>
      <c r="F987" s="354"/>
      <c r="G987" s="354"/>
      <c r="H987" s="335">
        <v>0</v>
      </c>
      <c r="I987" s="217"/>
    </row>
    <row r="988" spans="1:9">
      <c r="A988" s="402">
        <v>5</v>
      </c>
      <c r="B988" s="799">
        <v>345600000000000</v>
      </c>
      <c r="C988" s="320" t="s">
        <v>986</v>
      </c>
      <c r="D988" s="329"/>
      <c r="E988" s="335">
        <f t="shared" si="16"/>
        <v>0</v>
      </c>
      <c r="F988" s="354"/>
      <c r="G988" s="354"/>
      <c r="H988" s="335">
        <v>0</v>
      </c>
      <c r="I988" s="217"/>
    </row>
    <row r="989" spans="1:9">
      <c r="A989" s="402">
        <v>5</v>
      </c>
      <c r="B989" s="799">
        <v>345700000000000</v>
      </c>
      <c r="C989" s="320" t="s">
        <v>987</v>
      </c>
      <c r="D989" s="329"/>
      <c r="E989" s="335">
        <f t="shared" si="16"/>
        <v>0</v>
      </c>
      <c r="F989" s="354"/>
      <c r="G989" s="354"/>
      <c r="H989" s="335">
        <v>0</v>
      </c>
      <c r="I989" s="217"/>
    </row>
    <row r="990" spans="1:9">
      <c r="A990" s="402">
        <v>5</v>
      </c>
      <c r="B990" s="799">
        <v>345900000000000</v>
      </c>
      <c r="C990" s="320" t="s">
        <v>988</v>
      </c>
      <c r="D990" s="329"/>
      <c r="E990" s="335">
        <f t="shared" si="16"/>
        <v>3728.28</v>
      </c>
      <c r="F990" s="354">
        <v>3728.28</v>
      </c>
      <c r="G990" s="354"/>
      <c r="H990" s="335">
        <v>3904.91</v>
      </c>
      <c r="I990" s="217"/>
    </row>
    <row r="991" spans="1:9">
      <c r="A991" s="401">
        <v>4</v>
      </c>
      <c r="B991" s="800" t="s">
        <v>989</v>
      </c>
      <c r="C991" s="317" t="s">
        <v>1656</v>
      </c>
      <c r="D991" s="328"/>
      <c r="E991" s="359"/>
      <c r="F991" s="359"/>
      <c r="G991" s="359"/>
      <c r="H991" s="359">
        <v>0</v>
      </c>
    </row>
    <row r="992" spans="1:9">
      <c r="A992" s="401">
        <v>5</v>
      </c>
      <c r="B992" s="800" t="s">
        <v>990</v>
      </c>
      <c r="C992" s="317" t="s">
        <v>1657</v>
      </c>
      <c r="D992" s="328"/>
      <c r="E992" s="359"/>
      <c r="F992" s="359"/>
      <c r="G992" s="359"/>
      <c r="H992" s="359">
        <v>0</v>
      </c>
    </row>
    <row r="993" spans="1:9" ht="25.5">
      <c r="A993" s="401">
        <v>6</v>
      </c>
      <c r="B993" s="800" t="s">
        <v>992</v>
      </c>
      <c r="C993" s="317" t="s">
        <v>1658</v>
      </c>
      <c r="D993" s="328"/>
      <c r="E993" s="359"/>
      <c r="F993" s="359"/>
      <c r="G993" s="359"/>
      <c r="H993" s="359">
        <v>0</v>
      </c>
    </row>
    <row r="994" spans="1:9">
      <c r="A994" s="402">
        <v>7</v>
      </c>
      <c r="B994" s="799">
        <v>350100100000000</v>
      </c>
      <c r="C994" s="320" t="s">
        <v>991</v>
      </c>
      <c r="D994" s="329"/>
      <c r="E994" s="335">
        <f t="shared" si="16"/>
        <v>0</v>
      </c>
      <c r="F994" s="354"/>
      <c r="G994" s="354"/>
      <c r="H994" s="335">
        <v>0</v>
      </c>
      <c r="I994" s="217"/>
    </row>
    <row r="995" spans="1:9">
      <c r="A995" s="401">
        <v>6</v>
      </c>
      <c r="B995" s="800" t="s">
        <v>994</v>
      </c>
      <c r="C995" s="317" t="s">
        <v>1659</v>
      </c>
      <c r="D995" s="328"/>
      <c r="E995" s="359"/>
      <c r="F995" s="359"/>
      <c r="G995" s="359"/>
      <c r="H995" s="359">
        <v>0</v>
      </c>
    </row>
    <row r="996" spans="1:9">
      <c r="A996" s="402">
        <v>7</v>
      </c>
      <c r="B996" s="799">
        <v>350100200000000</v>
      </c>
      <c r="C996" s="320" t="s">
        <v>993</v>
      </c>
      <c r="D996" s="329"/>
      <c r="E996" s="335">
        <f t="shared" si="16"/>
        <v>0</v>
      </c>
      <c r="F996" s="354"/>
      <c r="G996" s="354"/>
      <c r="H996" s="335">
        <v>0</v>
      </c>
      <c r="I996" s="217"/>
    </row>
    <row r="997" spans="1:9">
      <c r="A997" s="401">
        <v>5</v>
      </c>
      <c r="B997" s="800" t="s">
        <v>995</v>
      </c>
      <c r="C997" s="317" t="s">
        <v>1660</v>
      </c>
      <c r="D997" s="328"/>
      <c r="E997" s="359"/>
      <c r="F997" s="359"/>
      <c r="G997" s="359"/>
      <c r="H997" s="359">
        <v>0</v>
      </c>
    </row>
    <row r="998" spans="1:9">
      <c r="A998" s="402">
        <v>6</v>
      </c>
      <c r="B998" s="799">
        <v>350200100000000</v>
      </c>
      <c r="C998" s="320" t="s">
        <v>996</v>
      </c>
      <c r="D998" s="329"/>
      <c r="E998" s="335">
        <f t="shared" si="16"/>
        <v>22875</v>
      </c>
      <c r="F998" s="354">
        <v>22875</v>
      </c>
      <c r="G998" s="354"/>
      <c r="H998" s="335">
        <v>26781.39</v>
      </c>
      <c r="I998" s="217"/>
    </row>
    <row r="999" spans="1:9">
      <c r="A999" s="402">
        <v>6</v>
      </c>
      <c r="B999" s="799">
        <v>350200200000000</v>
      </c>
      <c r="C999" s="320" t="s">
        <v>997</v>
      </c>
      <c r="D999" s="329"/>
      <c r="E999" s="335">
        <f t="shared" si="16"/>
        <v>23668.71</v>
      </c>
      <c r="F999" s="354">
        <v>23668.71</v>
      </c>
      <c r="G999" s="354"/>
      <c r="H999" s="335">
        <v>31187.05</v>
      </c>
      <c r="I999" s="217"/>
    </row>
    <row r="1000" spans="1:9">
      <c r="A1000" s="402">
        <v>6</v>
      </c>
      <c r="B1000" s="799">
        <v>350200300000000</v>
      </c>
      <c r="C1000" s="320" t="s">
        <v>998</v>
      </c>
      <c r="D1000" s="329"/>
      <c r="E1000" s="335">
        <f t="shared" si="16"/>
        <v>29340.47</v>
      </c>
      <c r="F1000" s="354">
        <v>29340.47</v>
      </c>
      <c r="G1000" s="354"/>
      <c r="H1000" s="335">
        <v>23697.95</v>
      </c>
      <c r="I1000" s="217"/>
    </row>
    <row r="1001" spans="1:9">
      <c r="A1001" s="402">
        <v>6</v>
      </c>
      <c r="B1001" s="799">
        <v>350200400000000</v>
      </c>
      <c r="C1001" s="320" t="s">
        <v>999</v>
      </c>
      <c r="D1001" s="329"/>
      <c r="E1001" s="335">
        <f t="shared" si="16"/>
        <v>1006.82</v>
      </c>
      <c r="F1001" s="354">
        <v>1006.82</v>
      </c>
      <c r="G1001" s="354"/>
      <c r="H1001" s="335">
        <v>2013.65</v>
      </c>
      <c r="I1001" s="217"/>
    </row>
    <row r="1002" spans="1:9">
      <c r="A1002" s="402">
        <v>6</v>
      </c>
      <c r="B1002" s="799">
        <v>350200500000000</v>
      </c>
      <c r="C1002" s="320" t="s">
        <v>1000</v>
      </c>
      <c r="D1002" s="329"/>
      <c r="E1002" s="335">
        <f t="shared" si="16"/>
        <v>107815.49</v>
      </c>
      <c r="F1002" s="354">
        <v>107815.49</v>
      </c>
      <c r="G1002" s="354"/>
      <c r="H1002" s="335">
        <v>77676.33</v>
      </c>
      <c r="I1002" s="217"/>
    </row>
    <row r="1003" spans="1:9">
      <c r="A1003" s="401" t="s">
        <v>1963</v>
      </c>
      <c r="B1003" s="800" t="s">
        <v>1001</v>
      </c>
      <c r="C1003" s="317" t="s">
        <v>1661</v>
      </c>
      <c r="D1003" s="328"/>
      <c r="E1003" s="359"/>
      <c r="F1003" s="359"/>
      <c r="G1003" s="359"/>
      <c r="H1003" s="359">
        <v>0</v>
      </c>
    </row>
    <row r="1004" spans="1:9" ht="25.5">
      <c r="A1004" s="401" t="s">
        <v>1965</v>
      </c>
      <c r="B1004" s="800" t="s">
        <v>1002</v>
      </c>
      <c r="C1004" s="317" t="s">
        <v>1662</v>
      </c>
      <c r="D1004" s="328"/>
      <c r="E1004" s="359"/>
      <c r="F1004" s="359"/>
      <c r="G1004" s="359"/>
      <c r="H1004" s="359">
        <v>0</v>
      </c>
    </row>
    <row r="1005" spans="1:9">
      <c r="A1005" s="403">
        <v>5</v>
      </c>
      <c r="B1005" s="802">
        <v>3551001000000</v>
      </c>
      <c r="C1005" s="323" t="s">
        <v>1003</v>
      </c>
      <c r="D1005" s="332"/>
      <c r="E1005" s="337"/>
      <c r="F1005" s="356"/>
      <c r="G1005" s="356"/>
      <c r="H1005" s="337">
        <v>0</v>
      </c>
      <c r="I1005" s="217"/>
    </row>
    <row r="1006" spans="1:9">
      <c r="A1006" s="402">
        <v>6</v>
      </c>
      <c r="B1006" s="799">
        <v>355100100100000</v>
      </c>
      <c r="C1006" s="320" t="s">
        <v>1004</v>
      </c>
      <c r="D1006" s="329"/>
      <c r="E1006" s="335">
        <f t="shared" si="16"/>
        <v>0</v>
      </c>
      <c r="F1006" s="354"/>
      <c r="G1006" s="354"/>
      <c r="H1006" s="335">
        <v>0</v>
      </c>
      <c r="I1006" s="217"/>
    </row>
    <row r="1007" spans="1:9">
      <c r="A1007" s="402">
        <v>6</v>
      </c>
      <c r="B1007" s="799">
        <v>355100100200000</v>
      </c>
      <c r="C1007" s="320" t="s">
        <v>1005</v>
      </c>
      <c r="D1007" s="329"/>
      <c r="E1007" s="335">
        <f t="shared" si="16"/>
        <v>0</v>
      </c>
      <c r="F1007" s="354"/>
      <c r="G1007" s="354"/>
      <c r="H1007" s="335">
        <v>0</v>
      </c>
      <c r="I1007" s="217"/>
    </row>
    <row r="1008" spans="1:9" ht="24">
      <c r="A1008" s="402">
        <v>6</v>
      </c>
      <c r="B1008" s="799">
        <v>355100100300000</v>
      </c>
      <c r="C1008" s="320" t="s">
        <v>1006</v>
      </c>
      <c r="D1008" s="329"/>
      <c r="E1008" s="335">
        <f t="shared" si="16"/>
        <v>0</v>
      </c>
      <c r="F1008" s="354"/>
      <c r="G1008" s="354"/>
      <c r="H1008" s="335">
        <v>0</v>
      </c>
      <c r="I1008" s="217"/>
    </row>
    <row r="1009" spans="1:9">
      <c r="A1009" s="402">
        <v>6</v>
      </c>
      <c r="B1009" s="799">
        <v>355100100400000</v>
      </c>
      <c r="C1009" s="320" t="s">
        <v>1007</v>
      </c>
      <c r="D1009" s="329"/>
      <c r="E1009" s="335">
        <f t="shared" si="16"/>
        <v>0</v>
      </c>
      <c r="F1009" s="354"/>
      <c r="G1009" s="354"/>
      <c r="H1009" s="335">
        <v>0</v>
      </c>
      <c r="I1009" s="217"/>
    </row>
    <row r="1010" spans="1:9">
      <c r="A1010" s="403">
        <v>5</v>
      </c>
      <c r="B1010" s="802">
        <v>3551002000000</v>
      </c>
      <c r="C1010" s="323" t="s">
        <v>1008</v>
      </c>
      <c r="D1010" s="332"/>
      <c r="E1010" s="337"/>
      <c r="F1010" s="356"/>
      <c r="G1010" s="356"/>
      <c r="H1010" s="337">
        <v>0</v>
      </c>
      <c r="I1010" s="217"/>
    </row>
    <row r="1011" spans="1:9">
      <c r="A1011" s="402">
        <v>6</v>
      </c>
      <c r="B1011" s="799">
        <v>355100200100000</v>
      </c>
      <c r="C1011" s="320" t="s">
        <v>1009</v>
      </c>
      <c r="D1011" s="329"/>
      <c r="E1011" s="335">
        <f t="shared" si="16"/>
        <v>0</v>
      </c>
      <c r="F1011" s="354"/>
      <c r="G1011" s="354"/>
      <c r="H1011" s="335">
        <v>0</v>
      </c>
      <c r="I1011" s="217"/>
    </row>
    <row r="1012" spans="1:9">
      <c r="A1012" s="402">
        <v>6</v>
      </c>
      <c r="B1012" s="799">
        <v>355100200150000</v>
      </c>
      <c r="C1012" s="320" t="s">
        <v>1010</v>
      </c>
      <c r="D1012" s="329"/>
      <c r="E1012" s="335">
        <f t="shared" si="16"/>
        <v>0</v>
      </c>
      <c r="F1012" s="354"/>
      <c r="G1012" s="354"/>
      <c r="H1012" s="335">
        <v>0</v>
      </c>
      <c r="I1012" s="217"/>
    </row>
    <row r="1013" spans="1:9">
      <c r="A1013" s="402">
        <v>6</v>
      </c>
      <c r="B1013" s="799">
        <v>355100200200000</v>
      </c>
      <c r="C1013" s="320" t="s">
        <v>1011</v>
      </c>
      <c r="D1013" s="329"/>
      <c r="E1013" s="335">
        <f t="shared" si="16"/>
        <v>0</v>
      </c>
      <c r="F1013" s="354"/>
      <c r="G1013" s="354"/>
      <c r="H1013" s="335">
        <v>0</v>
      </c>
      <c r="I1013" s="217"/>
    </row>
    <row r="1014" spans="1:9">
      <c r="A1014" s="402">
        <v>6</v>
      </c>
      <c r="B1014" s="799">
        <v>355100200250000</v>
      </c>
      <c r="C1014" s="320" t="s">
        <v>1012</v>
      </c>
      <c r="D1014" s="329"/>
      <c r="E1014" s="335">
        <f t="shared" si="16"/>
        <v>0</v>
      </c>
      <c r="F1014" s="354"/>
      <c r="G1014" s="354"/>
      <c r="H1014" s="335">
        <v>0</v>
      </c>
      <c r="I1014" s="217"/>
    </row>
    <row r="1015" spans="1:9">
      <c r="A1015" s="402">
        <v>6</v>
      </c>
      <c r="B1015" s="799">
        <v>355100200300000</v>
      </c>
      <c r="C1015" s="320" t="s">
        <v>1013</v>
      </c>
      <c r="D1015" s="329"/>
      <c r="E1015" s="335">
        <f t="shared" si="16"/>
        <v>0</v>
      </c>
      <c r="F1015" s="354"/>
      <c r="G1015" s="354"/>
      <c r="H1015" s="335">
        <v>0</v>
      </c>
      <c r="I1015" s="217"/>
    </row>
    <row r="1016" spans="1:9">
      <c r="A1016" s="402">
        <v>6</v>
      </c>
      <c r="B1016" s="799">
        <v>355100200350000</v>
      </c>
      <c r="C1016" s="320" t="s">
        <v>1014</v>
      </c>
      <c r="D1016" s="329"/>
      <c r="E1016" s="335">
        <f t="shared" si="16"/>
        <v>0</v>
      </c>
      <c r="F1016" s="354"/>
      <c r="G1016" s="354"/>
      <c r="H1016" s="335">
        <v>0</v>
      </c>
      <c r="I1016" s="217"/>
    </row>
    <row r="1017" spans="1:9">
      <c r="A1017" s="402">
        <v>6</v>
      </c>
      <c r="B1017" s="799">
        <v>355100200400000</v>
      </c>
      <c r="C1017" s="320" t="s">
        <v>1015</v>
      </c>
      <c r="D1017" s="329"/>
      <c r="E1017" s="335">
        <f t="shared" si="16"/>
        <v>0</v>
      </c>
      <c r="F1017" s="354"/>
      <c r="G1017" s="354"/>
      <c r="H1017" s="335">
        <v>0</v>
      </c>
      <c r="I1017" s="217"/>
    </row>
    <row r="1018" spans="1:9">
      <c r="A1018" s="402">
        <v>6</v>
      </c>
      <c r="B1018" s="799">
        <v>355100200450000</v>
      </c>
      <c r="C1018" s="320" t="s">
        <v>2558</v>
      </c>
      <c r="D1018" s="329"/>
      <c r="E1018" s="335">
        <f t="shared" ref="E1018:E1080" si="17">+F1018+G1018</f>
        <v>0</v>
      </c>
      <c r="F1018" s="354"/>
      <c r="G1018" s="354"/>
      <c r="H1018" s="335">
        <v>0</v>
      </c>
      <c r="I1018" s="217"/>
    </row>
    <row r="1019" spans="1:9">
      <c r="A1019" s="402">
        <v>6</v>
      </c>
      <c r="B1019" s="799">
        <v>355100200500000</v>
      </c>
      <c r="C1019" s="320" t="s">
        <v>1016</v>
      </c>
      <c r="D1019" s="329"/>
      <c r="E1019" s="335">
        <f t="shared" si="17"/>
        <v>0</v>
      </c>
      <c r="F1019" s="354"/>
      <c r="G1019" s="354"/>
      <c r="H1019" s="335">
        <v>0</v>
      </c>
      <c r="I1019" s="217"/>
    </row>
    <row r="1020" spans="1:9">
      <c r="A1020" s="402">
        <v>6</v>
      </c>
      <c r="B1020" s="799">
        <v>355100200550000</v>
      </c>
      <c r="C1020" s="320" t="s">
        <v>1017</v>
      </c>
      <c r="D1020" s="329"/>
      <c r="E1020" s="335">
        <f t="shared" si="17"/>
        <v>0</v>
      </c>
      <c r="F1020" s="354"/>
      <c r="G1020" s="354"/>
      <c r="H1020" s="335">
        <v>0</v>
      </c>
      <c r="I1020" s="217"/>
    </row>
    <row r="1021" spans="1:9">
      <c r="A1021" s="401" t="s">
        <v>1965</v>
      </c>
      <c r="B1021" s="800" t="s">
        <v>1018</v>
      </c>
      <c r="C1021" s="317" t="s">
        <v>1663</v>
      </c>
      <c r="D1021" s="328"/>
      <c r="E1021" s="359"/>
      <c r="F1021" s="359"/>
      <c r="G1021" s="359"/>
      <c r="H1021" s="359">
        <v>0</v>
      </c>
    </row>
    <row r="1022" spans="1:9">
      <c r="A1022" s="402">
        <v>5</v>
      </c>
      <c r="B1022" s="799">
        <v>355200100000000</v>
      </c>
      <c r="C1022" s="320" t="s">
        <v>1019</v>
      </c>
      <c r="D1022" s="329"/>
      <c r="E1022" s="335">
        <f t="shared" si="17"/>
        <v>0</v>
      </c>
      <c r="F1022" s="354"/>
      <c r="G1022" s="354"/>
      <c r="H1022" s="335">
        <v>0</v>
      </c>
      <c r="I1022" s="217"/>
    </row>
    <row r="1023" spans="1:9">
      <c r="A1023" s="402">
        <v>5</v>
      </c>
      <c r="B1023" s="799">
        <v>355200101000000</v>
      </c>
      <c r="C1023" s="320" t="s">
        <v>1020</v>
      </c>
      <c r="D1023" s="329"/>
      <c r="E1023" s="335">
        <f t="shared" si="17"/>
        <v>0</v>
      </c>
      <c r="F1023" s="354"/>
      <c r="G1023" s="354"/>
      <c r="H1023" s="335">
        <v>0</v>
      </c>
      <c r="I1023" s="217"/>
    </row>
    <row r="1024" spans="1:9">
      <c r="A1024" s="402">
        <v>5</v>
      </c>
      <c r="B1024" s="799">
        <v>355200102000000</v>
      </c>
      <c r="C1024" s="320" t="s">
        <v>1021</v>
      </c>
      <c r="D1024" s="329"/>
      <c r="E1024" s="335">
        <f t="shared" si="17"/>
        <v>0</v>
      </c>
      <c r="F1024" s="354"/>
      <c r="G1024" s="354"/>
      <c r="H1024" s="335">
        <v>0</v>
      </c>
      <c r="I1024" s="217"/>
    </row>
    <row r="1025" spans="1:9">
      <c r="A1025" s="402">
        <v>5</v>
      </c>
      <c r="B1025" s="799">
        <v>355200103000000</v>
      </c>
      <c r="C1025" s="320" t="s">
        <v>1022</v>
      </c>
      <c r="D1025" s="329"/>
      <c r="E1025" s="335">
        <f t="shared" si="17"/>
        <v>0</v>
      </c>
      <c r="F1025" s="354"/>
      <c r="G1025" s="354"/>
      <c r="H1025" s="335">
        <v>0</v>
      </c>
      <c r="I1025" s="217"/>
    </row>
    <row r="1026" spans="1:9" ht="24">
      <c r="A1026" s="402">
        <v>5</v>
      </c>
      <c r="B1026" s="799">
        <v>355200200000000</v>
      </c>
      <c r="C1026" s="320" t="s">
        <v>1023</v>
      </c>
      <c r="D1026" s="329"/>
      <c r="E1026" s="335">
        <f t="shared" si="17"/>
        <v>0</v>
      </c>
      <c r="F1026" s="354"/>
      <c r="G1026" s="354"/>
      <c r="H1026" s="335">
        <v>0</v>
      </c>
      <c r="I1026" s="217"/>
    </row>
    <row r="1027" spans="1:9">
      <c r="A1027" s="402">
        <v>5</v>
      </c>
      <c r="B1027" s="799">
        <v>355200201000000</v>
      </c>
      <c r="C1027" s="320" t="s">
        <v>1024</v>
      </c>
      <c r="D1027" s="329"/>
      <c r="E1027" s="335">
        <f t="shared" si="17"/>
        <v>0</v>
      </c>
      <c r="F1027" s="354"/>
      <c r="G1027" s="354"/>
      <c r="H1027" s="335">
        <v>0</v>
      </c>
      <c r="I1027" s="217"/>
    </row>
    <row r="1028" spans="1:9">
      <c r="A1028" s="402">
        <v>5</v>
      </c>
      <c r="B1028" s="799">
        <v>355200202000000</v>
      </c>
      <c r="C1028" s="320" t="s">
        <v>1025</v>
      </c>
      <c r="D1028" s="329"/>
      <c r="E1028" s="335">
        <f t="shared" si="17"/>
        <v>0</v>
      </c>
      <c r="F1028" s="354"/>
      <c r="G1028" s="354"/>
      <c r="H1028" s="335">
        <v>0</v>
      </c>
      <c r="I1028" s="217"/>
    </row>
    <row r="1029" spans="1:9">
      <c r="A1029" s="402">
        <v>5</v>
      </c>
      <c r="B1029" s="799">
        <v>355200203000000</v>
      </c>
      <c r="C1029" s="320" t="s">
        <v>1026</v>
      </c>
      <c r="D1029" s="329"/>
      <c r="E1029" s="335">
        <f t="shared" si="17"/>
        <v>0</v>
      </c>
      <c r="F1029" s="354"/>
      <c r="G1029" s="354"/>
      <c r="H1029" s="335">
        <v>0</v>
      </c>
      <c r="I1029" s="217"/>
    </row>
    <row r="1030" spans="1:9" ht="24">
      <c r="A1030" s="402">
        <v>5</v>
      </c>
      <c r="B1030" s="799">
        <v>355200204000000</v>
      </c>
      <c r="C1030" s="320" t="s">
        <v>1027</v>
      </c>
      <c r="D1030" s="329"/>
      <c r="E1030" s="335">
        <f t="shared" si="17"/>
        <v>0</v>
      </c>
      <c r="F1030" s="354"/>
      <c r="G1030" s="354"/>
      <c r="H1030" s="335">
        <v>0</v>
      </c>
      <c r="I1030" s="217"/>
    </row>
    <row r="1031" spans="1:9" ht="24">
      <c r="A1031" s="402">
        <v>5</v>
      </c>
      <c r="B1031" s="799">
        <v>355200205000000</v>
      </c>
      <c r="C1031" s="320" t="s">
        <v>1028</v>
      </c>
      <c r="D1031" s="329"/>
      <c r="E1031" s="335">
        <f t="shared" si="17"/>
        <v>0</v>
      </c>
      <c r="F1031" s="354"/>
      <c r="G1031" s="354"/>
      <c r="H1031" s="335">
        <v>0</v>
      </c>
      <c r="I1031" s="217"/>
    </row>
    <row r="1032" spans="1:9">
      <c r="A1032" s="402">
        <v>5</v>
      </c>
      <c r="B1032" s="799">
        <v>355200206000000</v>
      </c>
      <c r="C1032" s="320" t="s">
        <v>1029</v>
      </c>
      <c r="D1032" s="329"/>
      <c r="E1032" s="335">
        <f t="shared" si="17"/>
        <v>0</v>
      </c>
      <c r="F1032" s="354"/>
      <c r="G1032" s="354"/>
      <c r="H1032" s="335">
        <v>0</v>
      </c>
      <c r="I1032" s="217"/>
    </row>
    <row r="1033" spans="1:9" ht="24">
      <c r="A1033" s="402">
        <v>5</v>
      </c>
      <c r="B1033" s="799">
        <v>355200207000000</v>
      </c>
      <c r="C1033" s="320" t="s">
        <v>1030</v>
      </c>
      <c r="D1033" s="329"/>
      <c r="E1033" s="335">
        <f t="shared" si="17"/>
        <v>0</v>
      </c>
      <c r="F1033" s="354"/>
      <c r="G1033" s="354"/>
      <c r="H1033" s="335">
        <v>0</v>
      </c>
      <c r="I1033" s="217"/>
    </row>
    <row r="1034" spans="1:9" ht="24">
      <c r="A1034" s="402">
        <v>5</v>
      </c>
      <c r="B1034" s="799">
        <v>355200208000000</v>
      </c>
      <c r="C1034" s="320" t="s">
        <v>1031</v>
      </c>
      <c r="D1034" s="329"/>
      <c r="E1034" s="335">
        <f t="shared" si="17"/>
        <v>0</v>
      </c>
      <c r="F1034" s="354"/>
      <c r="G1034" s="354"/>
      <c r="H1034" s="335">
        <v>0</v>
      </c>
      <c r="I1034" s="217"/>
    </row>
    <row r="1035" spans="1:9" ht="24">
      <c r="A1035" s="402">
        <v>5</v>
      </c>
      <c r="B1035" s="799">
        <v>355200209000000</v>
      </c>
      <c r="C1035" s="320" t="s">
        <v>1032</v>
      </c>
      <c r="D1035" s="329"/>
      <c r="E1035" s="335">
        <f t="shared" si="17"/>
        <v>0</v>
      </c>
      <c r="F1035" s="354"/>
      <c r="G1035" s="354"/>
      <c r="H1035" s="335">
        <v>0</v>
      </c>
      <c r="I1035" s="217"/>
    </row>
    <row r="1036" spans="1:9" ht="24">
      <c r="A1036" s="402">
        <v>5</v>
      </c>
      <c r="B1036" s="799">
        <v>355200210000000</v>
      </c>
      <c r="C1036" s="320" t="s">
        <v>2559</v>
      </c>
      <c r="D1036" s="329"/>
      <c r="E1036" s="335">
        <f t="shared" si="17"/>
        <v>0</v>
      </c>
      <c r="F1036" s="354"/>
      <c r="G1036" s="354"/>
      <c r="H1036" s="335">
        <v>0</v>
      </c>
      <c r="I1036" s="217"/>
    </row>
    <row r="1037" spans="1:9" ht="24">
      <c r="A1037" s="402">
        <v>5</v>
      </c>
      <c r="B1037" s="799">
        <v>355200211000000</v>
      </c>
      <c r="C1037" s="320" t="s">
        <v>1033</v>
      </c>
      <c r="D1037" s="329"/>
      <c r="E1037" s="335">
        <f t="shared" si="17"/>
        <v>0</v>
      </c>
      <c r="F1037" s="354"/>
      <c r="G1037" s="354"/>
      <c r="H1037" s="335">
        <v>0</v>
      </c>
      <c r="I1037" s="217"/>
    </row>
    <row r="1038" spans="1:9">
      <c r="A1038" s="402">
        <v>5</v>
      </c>
      <c r="B1038" s="799">
        <v>355200300000000</v>
      </c>
      <c r="C1038" s="320" t="s">
        <v>1034</v>
      </c>
      <c r="D1038" s="329"/>
      <c r="E1038" s="335">
        <f t="shared" si="17"/>
        <v>0</v>
      </c>
      <c r="F1038" s="354"/>
      <c r="G1038" s="354"/>
      <c r="H1038" s="335">
        <v>0</v>
      </c>
      <c r="I1038" s="217"/>
    </row>
    <row r="1039" spans="1:9" ht="24">
      <c r="A1039" s="402">
        <v>5</v>
      </c>
      <c r="B1039" s="799">
        <v>355200400000000</v>
      </c>
      <c r="C1039" s="320" t="s">
        <v>1035</v>
      </c>
      <c r="D1039" s="329"/>
      <c r="E1039" s="335">
        <f t="shared" si="17"/>
        <v>0</v>
      </c>
      <c r="F1039" s="354"/>
      <c r="G1039" s="354"/>
      <c r="H1039" s="335">
        <v>0</v>
      </c>
      <c r="I1039" s="217"/>
    </row>
    <row r="1040" spans="1:9" ht="24">
      <c r="A1040" s="402">
        <v>5</v>
      </c>
      <c r="B1040" s="799">
        <v>355200401000000</v>
      </c>
      <c r="C1040" s="320" t="s">
        <v>1036</v>
      </c>
      <c r="D1040" s="329"/>
      <c r="E1040" s="335">
        <f t="shared" si="17"/>
        <v>0</v>
      </c>
      <c r="F1040" s="354"/>
      <c r="G1040" s="354"/>
      <c r="H1040" s="335">
        <v>0</v>
      </c>
      <c r="I1040" s="217"/>
    </row>
    <row r="1041" spans="1:9" ht="24">
      <c r="A1041" s="402">
        <v>5</v>
      </c>
      <c r="B1041" s="799">
        <v>355200402000000</v>
      </c>
      <c r="C1041" s="320" t="s">
        <v>1037</v>
      </c>
      <c r="D1041" s="329"/>
      <c r="E1041" s="335">
        <f t="shared" si="17"/>
        <v>0</v>
      </c>
      <c r="F1041" s="354"/>
      <c r="G1041" s="354"/>
      <c r="H1041" s="335">
        <v>0</v>
      </c>
      <c r="I1041" s="217"/>
    </row>
    <row r="1042" spans="1:9" ht="24">
      <c r="A1042" s="402">
        <v>5</v>
      </c>
      <c r="B1042" s="799">
        <v>355200403000000</v>
      </c>
      <c r="C1042" s="320" t="s">
        <v>1038</v>
      </c>
      <c r="D1042" s="329"/>
      <c r="E1042" s="335">
        <f t="shared" si="17"/>
        <v>0</v>
      </c>
      <c r="F1042" s="354"/>
      <c r="G1042" s="354"/>
      <c r="H1042" s="335">
        <v>0</v>
      </c>
      <c r="I1042" s="217"/>
    </row>
    <row r="1043" spans="1:9" ht="24">
      <c r="A1043" s="402">
        <v>5</v>
      </c>
      <c r="B1043" s="799">
        <v>355200404000000</v>
      </c>
      <c r="C1043" s="320" t="s">
        <v>1039</v>
      </c>
      <c r="D1043" s="329"/>
      <c r="E1043" s="335">
        <f t="shared" si="17"/>
        <v>0</v>
      </c>
      <c r="F1043" s="354"/>
      <c r="G1043" s="354"/>
      <c r="H1043" s="335">
        <v>0</v>
      </c>
      <c r="I1043" s="217"/>
    </row>
    <row r="1044" spans="1:9" ht="24">
      <c r="A1044" s="402">
        <v>5</v>
      </c>
      <c r="B1044" s="799">
        <v>355200405000000</v>
      </c>
      <c r="C1044" s="320" t="s">
        <v>1040</v>
      </c>
      <c r="D1044" s="329"/>
      <c r="E1044" s="335">
        <f t="shared" si="17"/>
        <v>0</v>
      </c>
      <c r="F1044" s="354"/>
      <c r="G1044" s="354"/>
      <c r="H1044" s="335">
        <v>0</v>
      </c>
      <c r="I1044" s="217"/>
    </row>
    <row r="1045" spans="1:9" ht="24">
      <c r="A1045" s="402">
        <v>5</v>
      </c>
      <c r="B1045" s="799">
        <v>355200406000000</v>
      </c>
      <c r="C1045" s="320" t="s">
        <v>1041</v>
      </c>
      <c r="D1045" s="329"/>
      <c r="E1045" s="335">
        <f t="shared" si="17"/>
        <v>0</v>
      </c>
      <c r="F1045" s="354"/>
      <c r="G1045" s="354"/>
      <c r="H1045" s="335">
        <v>0</v>
      </c>
      <c r="I1045" s="217"/>
    </row>
    <row r="1046" spans="1:9" ht="24">
      <c r="A1046" s="402">
        <v>5</v>
      </c>
      <c r="B1046" s="799">
        <v>355200407000000</v>
      </c>
      <c r="C1046" s="320" t="s">
        <v>1042</v>
      </c>
      <c r="D1046" s="329"/>
      <c r="E1046" s="335">
        <f t="shared" si="17"/>
        <v>0</v>
      </c>
      <c r="F1046" s="354"/>
      <c r="G1046" s="354"/>
      <c r="H1046" s="335">
        <v>0</v>
      </c>
      <c r="I1046" s="217"/>
    </row>
    <row r="1047" spans="1:9" ht="24">
      <c r="A1047" s="402">
        <v>5</v>
      </c>
      <c r="B1047" s="799">
        <v>355200408000000</v>
      </c>
      <c r="C1047" s="320" t="s">
        <v>1043</v>
      </c>
      <c r="D1047" s="329"/>
      <c r="E1047" s="335">
        <f t="shared" si="17"/>
        <v>0</v>
      </c>
      <c r="F1047" s="354"/>
      <c r="G1047" s="354"/>
      <c r="H1047" s="335">
        <v>0</v>
      </c>
      <c r="I1047" s="217"/>
    </row>
    <row r="1048" spans="1:9" ht="24">
      <c r="A1048" s="402">
        <v>5</v>
      </c>
      <c r="B1048" s="799">
        <v>355200409000000</v>
      </c>
      <c r="C1048" s="320" t="s">
        <v>1044</v>
      </c>
      <c r="D1048" s="329"/>
      <c r="E1048" s="335">
        <f t="shared" si="17"/>
        <v>0</v>
      </c>
      <c r="F1048" s="354"/>
      <c r="G1048" s="354"/>
      <c r="H1048" s="335">
        <v>0</v>
      </c>
      <c r="I1048" s="217"/>
    </row>
    <row r="1049" spans="1:9" ht="24">
      <c r="A1049" s="402">
        <v>5</v>
      </c>
      <c r="B1049" s="799">
        <v>355200410000000</v>
      </c>
      <c r="C1049" s="320" t="s">
        <v>1045</v>
      </c>
      <c r="D1049" s="329"/>
      <c r="E1049" s="335">
        <f t="shared" si="17"/>
        <v>0</v>
      </c>
      <c r="F1049" s="354"/>
      <c r="G1049" s="354"/>
      <c r="H1049" s="335">
        <v>0</v>
      </c>
      <c r="I1049" s="217"/>
    </row>
    <row r="1050" spans="1:9" ht="24">
      <c r="A1050" s="402">
        <v>5</v>
      </c>
      <c r="B1050" s="799">
        <v>355200411000000</v>
      </c>
      <c r="C1050" s="320" t="s">
        <v>1046</v>
      </c>
      <c r="D1050" s="329"/>
      <c r="E1050" s="335">
        <f t="shared" si="17"/>
        <v>0</v>
      </c>
      <c r="F1050" s="354"/>
      <c r="G1050" s="354"/>
      <c r="H1050" s="335">
        <v>0</v>
      </c>
      <c r="I1050" s="217"/>
    </row>
    <row r="1051" spans="1:9" ht="24">
      <c r="A1051" s="402">
        <v>5</v>
      </c>
      <c r="B1051" s="799">
        <v>355200412000000</v>
      </c>
      <c r="C1051" s="320" t="s">
        <v>1047</v>
      </c>
      <c r="D1051" s="329"/>
      <c r="E1051" s="335">
        <f t="shared" si="17"/>
        <v>0</v>
      </c>
      <c r="F1051" s="354"/>
      <c r="G1051" s="354"/>
      <c r="H1051" s="335">
        <v>0</v>
      </c>
      <c r="I1051" s="217"/>
    </row>
    <row r="1052" spans="1:9" ht="24">
      <c r="A1052" s="402">
        <v>5</v>
      </c>
      <c r="B1052" s="799">
        <v>355200413000000</v>
      </c>
      <c r="C1052" s="320" t="s">
        <v>1048</v>
      </c>
      <c r="D1052" s="329"/>
      <c r="E1052" s="335">
        <f t="shared" si="17"/>
        <v>0</v>
      </c>
      <c r="F1052" s="354"/>
      <c r="G1052" s="354"/>
      <c r="H1052" s="335">
        <v>0</v>
      </c>
      <c r="I1052" s="217"/>
    </row>
    <row r="1053" spans="1:9" ht="24">
      <c r="A1053" s="402">
        <v>5</v>
      </c>
      <c r="B1053" s="799">
        <v>355200414000000</v>
      </c>
      <c r="C1053" s="320" t="s">
        <v>1049</v>
      </c>
      <c r="D1053" s="329"/>
      <c r="E1053" s="335">
        <f t="shared" si="17"/>
        <v>0</v>
      </c>
      <c r="F1053" s="354"/>
      <c r="G1053" s="354"/>
      <c r="H1053" s="335">
        <v>0</v>
      </c>
      <c r="I1053" s="217"/>
    </row>
    <row r="1054" spans="1:9">
      <c r="A1054" s="402">
        <v>5</v>
      </c>
      <c r="B1054" s="799">
        <v>355200415000000</v>
      </c>
      <c r="C1054" s="320" t="s">
        <v>1050</v>
      </c>
      <c r="D1054" s="329"/>
      <c r="E1054" s="335">
        <f t="shared" si="17"/>
        <v>0</v>
      </c>
      <c r="F1054" s="354"/>
      <c r="G1054" s="354"/>
      <c r="H1054" s="335">
        <v>0</v>
      </c>
      <c r="I1054" s="217"/>
    </row>
    <row r="1055" spans="1:9" ht="24">
      <c r="A1055" s="402">
        <v>5</v>
      </c>
      <c r="B1055" s="799">
        <v>355200602000000</v>
      </c>
      <c r="C1055" s="320" t="s">
        <v>1051</v>
      </c>
      <c r="D1055" s="329"/>
      <c r="E1055" s="335">
        <f t="shared" si="17"/>
        <v>0</v>
      </c>
      <c r="F1055" s="354"/>
      <c r="G1055" s="354"/>
      <c r="H1055" s="335">
        <v>0</v>
      </c>
      <c r="I1055" s="217"/>
    </row>
    <row r="1056" spans="1:9">
      <c r="A1056" s="402">
        <v>5</v>
      </c>
      <c r="B1056" s="799">
        <v>355200603000000</v>
      </c>
      <c r="C1056" s="320" t="s">
        <v>1052</v>
      </c>
      <c r="D1056" s="329"/>
      <c r="E1056" s="335">
        <f t="shared" si="17"/>
        <v>0</v>
      </c>
      <c r="F1056" s="354"/>
      <c r="G1056" s="354"/>
      <c r="H1056" s="335">
        <v>0</v>
      </c>
      <c r="I1056" s="217"/>
    </row>
    <row r="1057" spans="1:9">
      <c r="A1057" s="402">
        <v>5</v>
      </c>
      <c r="B1057" s="799">
        <v>355200700000000</v>
      </c>
      <c r="C1057" s="320" t="s">
        <v>1053</v>
      </c>
      <c r="D1057" s="329"/>
      <c r="E1057" s="335">
        <f t="shared" si="17"/>
        <v>0</v>
      </c>
      <c r="F1057" s="354"/>
      <c r="G1057" s="354"/>
      <c r="H1057" s="335">
        <v>0</v>
      </c>
      <c r="I1057" s="217"/>
    </row>
    <row r="1058" spans="1:9">
      <c r="A1058" s="402">
        <v>5</v>
      </c>
      <c r="B1058" s="799">
        <v>355200701000000</v>
      </c>
      <c r="C1058" s="320" t="s">
        <v>1054</v>
      </c>
      <c r="D1058" s="329"/>
      <c r="E1058" s="335">
        <f t="shared" si="17"/>
        <v>0</v>
      </c>
      <c r="F1058" s="354"/>
      <c r="G1058" s="354"/>
      <c r="H1058" s="335">
        <v>0</v>
      </c>
      <c r="I1058" s="217"/>
    </row>
    <row r="1059" spans="1:9">
      <c r="A1059" s="402">
        <v>5</v>
      </c>
      <c r="B1059" s="799">
        <v>355200702000000</v>
      </c>
      <c r="C1059" s="320" t="s">
        <v>1055</v>
      </c>
      <c r="D1059" s="329"/>
      <c r="E1059" s="335">
        <f t="shared" si="17"/>
        <v>0</v>
      </c>
      <c r="F1059" s="354"/>
      <c r="G1059" s="354"/>
      <c r="H1059" s="335">
        <v>0</v>
      </c>
      <c r="I1059" s="217"/>
    </row>
    <row r="1060" spans="1:9">
      <c r="A1060" s="402">
        <v>5</v>
      </c>
      <c r="B1060" s="799">
        <v>355200900000000</v>
      </c>
      <c r="C1060" s="320" t="s">
        <v>1056</v>
      </c>
      <c r="D1060" s="329"/>
      <c r="E1060" s="335">
        <f t="shared" si="17"/>
        <v>0</v>
      </c>
      <c r="F1060" s="354"/>
      <c r="G1060" s="354"/>
      <c r="H1060" s="335">
        <v>0</v>
      </c>
      <c r="I1060" s="217"/>
    </row>
    <row r="1061" spans="1:9">
      <c r="A1061" s="402">
        <v>5</v>
      </c>
      <c r="B1061" s="799">
        <v>355200901000000</v>
      </c>
      <c r="C1061" s="320" t="s">
        <v>1057</v>
      </c>
      <c r="D1061" s="329"/>
      <c r="E1061" s="335">
        <f t="shared" si="17"/>
        <v>0</v>
      </c>
      <c r="F1061" s="354"/>
      <c r="G1061" s="354"/>
      <c r="H1061" s="335">
        <v>0</v>
      </c>
      <c r="I1061" s="217"/>
    </row>
    <row r="1062" spans="1:9">
      <c r="A1062" s="402">
        <v>5</v>
      </c>
      <c r="B1062" s="799">
        <v>355200902000000</v>
      </c>
      <c r="C1062" s="320" t="s">
        <v>1058</v>
      </c>
      <c r="D1062" s="329"/>
      <c r="E1062" s="335">
        <f t="shared" si="17"/>
        <v>0</v>
      </c>
      <c r="F1062" s="354"/>
      <c r="G1062" s="354"/>
      <c r="H1062" s="335">
        <v>0</v>
      </c>
      <c r="I1062" s="217"/>
    </row>
    <row r="1063" spans="1:9">
      <c r="A1063" s="402">
        <v>5</v>
      </c>
      <c r="B1063" s="799">
        <v>355200903000000</v>
      </c>
      <c r="C1063" s="320" t="s">
        <v>1059</v>
      </c>
      <c r="D1063" s="329"/>
      <c r="E1063" s="335">
        <f t="shared" si="17"/>
        <v>0</v>
      </c>
      <c r="F1063" s="354"/>
      <c r="G1063" s="354"/>
      <c r="H1063" s="335">
        <v>0</v>
      </c>
      <c r="I1063" s="217"/>
    </row>
    <row r="1064" spans="1:9">
      <c r="A1064" s="402">
        <v>5</v>
      </c>
      <c r="B1064" s="799">
        <v>355200990000000</v>
      </c>
      <c r="C1064" s="320" t="s">
        <v>1060</v>
      </c>
      <c r="D1064" s="329"/>
      <c r="E1064" s="335">
        <f t="shared" si="17"/>
        <v>0</v>
      </c>
      <c r="F1064" s="354"/>
      <c r="G1064" s="354"/>
      <c r="H1064" s="335">
        <v>0</v>
      </c>
      <c r="I1064" s="217"/>
    </row>
    <row r="1065" spans="1:9">
      <c r="A1065" s="401" t="s">
        <v>1963</v>
      </c>
      <c r="B1065" s="800" t="s">
        <v>1061</v>
      </c>
      <c r="C1065" s="317" t="s">
        <v>1664</v>
      </c>
      <c r="D1065" s="328"/>
      <c r="E1065" s="359"/>
      <c r="F1065" s="359"/>
      <c r="G1065" s="359"/>
      <c r="H1065" s="359">
        <v>0</v>
      </c>
    </row>
    <row r="1066" spans="1:9">
      <c r="A1066" s="401" t="s">
        <v>1965</v>
      </c>
      <c r="B1066" s="800" t="s">
        <v>1062</v>
      </c>
      <c r="C1066" s="317" t="s">
        <v>1665</v>
      </c>
      <c r="D1066" s="328"/>
      <c r="E1066" s="359"/>
      <c r="F1066" s="359"/>
      <c r="G1066" s="359"/>
      <c r="H1066" s="359">
        <v>0</v>
      </c>
    </row>
    <row r="1067" spans="1:9">
      <c r="A1067" s="401" t="s">
        <v>1967</v>
      </c>
      <c r="B1067" s="800" t="s">
        <v>1063</v>
      </c>
      <c r="C1067" s="317" t="s">
        <v>1666</v>
      </c>
      <c r="D1067" s="328"/>
      <c r="E1067" s="359"/>
      <c r="F1067" s="359"/>
      <c r="G1067" s="359"/>
      <c r="H1067" s="359">
        <v>0</v>
      </c>
    </row>
    <row r="1068" spans="1:9">
      <c r="A1068" s="402" t="s">
        <v>1969</v>
      </c>
      <c r="B1068" s="799">
        <v>360100010000000</v>
      </c>
      <c r="C1068" s="320" t="s">
        <v>2560</v>
      </c>
      <c r="D1068" s="329"/>
      <c r="E1068" s="335">
        <f t="shared" si="17"/>
        <v>-100684.65</v>
      </c>
      <c r="F1068" s="354">
        <v>-100684.65</v>
      </c>
      <c r="G1068" s="354"/>
      <c r="H1068" s="335">
        <v>-10893715.439999999</v>
      </c>
      <c r="I1068" s="217"/>
    </row>
    <row r="1069" spans="1:9">
      <c r="A1069" s="401" t="s">
        <v>1967</v>
      </c>
      <c r="B1069" s="800" t="s">
        <v>1064</v>
      </c>
      <c r="C1069" s="317" t="s">
        <v>1667</v>
      </c>
      <c r="D1069" s="328"/>
      <c r="E1069" s="359"/>
      <c r="F1069" s="359"/>
      <c r="G1069" s="359"/>
      <c r="H1069" s="359">
        <v>0</v>
      </c>
    </row>
    <row r="1070" spans="1:9">
      <c r="A1070" s="402" t="s">
        <v>1969</v>
      </c>
      <c r="B1070" s="799">
        <v>360100020000000</v>
      </c>
      <c r="C1070" s="320" t="s">
        <v>2561</v>
      </c>
      <c r="D1070" s="329"/>
      <c r="E1070" s="335">
        <f t="shared" si="17"/>
        <v>0</v>
      </c>
      <c r="F1070" s="354"/>
      <c r="G1070" s="354"/>
      <c r="H1070" s="335">
        <v>0</v>
      </c>
      <c r="I1070" s="217"/>
    </row>
    <row r="1071" spans="1:9">
      <c r="A1071" s="401" t="s">
        <v>1967</v>
      </c>
      <c r="B1071" s="800" t="s">
        <v>1065</v>
      </c>
      <c r="C1071" s="317" t="s">
        <v>1668</v>
      </c>
      <c r="D1071" s="328"/>
      <c r="E1071" s="359"/>
      <c r="F1071" s="359"/>
      <c r="G1071" s="359"/>
      <c r="H1071" s="359">
        <v>0</v>
      </c>
    </row>
    <row r="1072" spans="1:9">
      <c r="A1072" s="402" t="s">
        <v>1969</v>
      </c>
      <c r="B1072" s="799">
        <v>360100030000000</v>
      </c>
      <c r="C1072" s="320" t="s">
        <v>2562</v>
      </c>
      <c r="D1072" s="329"/>
      <c r="E1072" s="335">
        <f t="shared" si="17"/>
        <v>1128606.6399999999</v>
      </c>
      <c r="F1072" s="354">
        <v>1128606.6399999999</v>
      </c>
      <c r="G1072" s="354"/>
      <c r="H1072" s="335">
        <v>-1995933.73</v>
      </c>
      <c r="I1072" s="217"/>
    </row>
    <row r="1073" spans="1:9">
      <c r="A1073" s="401" t="s">
        <v>1967</v>
      </c>
      <c r="B1073" s="800" t="s">
        <v>1066</v>
      </c>
      <c r="C1073" s="317" t="s">
        <v>1669</v>
      </c>
      <c r="D1073" s="328"/>
      <c r="E1073" s="359"/>
      <c r="F1073" s="359"/>
      <c r="G1073" s="359"/>
      <c r="H1073" s="359">
        <v>0</v>
      </c>
    </row>
    <row r="1074" spans="1:9">
      <c r="A1074" s="402" t="s">
        <v>1969</v>
      </c>
      <c r="B1074" s="799">
        <v>360100040000000</v>
      </c>
      <c r="C1074" s="320" t="s">
        <v>2563</v>
      </c>
      <c r="D1074" s="329"/>
      <c r="E1074" s="335">
        <f t="shared" si="17"/>
        <v>-24949.67</v>
      </c>
      <c r="F1074" s="354">
        <v>-24949.67</v>
      </c>
      <c r="G1074" s="354"/>
      <c r="H1074" s="335">
        <v>-103481</v>
      </c>
      <c r="I1074" s="217"/>
    </row>
    <row r="1075" spans="1:9">
      <c r="A1075" s="401" t="s">
        <v>1967</v>
      </c>
      <c r="B1075" s="800" t="s">
        <v>1067</v>
      </c>
      <c r="C1075" s="317" t="s">
        <v>1670</v>
      </c>
      <c r="D1075" s="328"/>
      <c r="E1075" s="359"/>
      <c r="F1075" s="359"/>
      <c r="G1075" s="359"/>
      <c r="H1075" s="359">
        <v>0</v>
      </c>
    </row>
    <row r="1076" spans="1:9">
      <c r="A1076" s="402" t="s">
        <v>1969</v>
      </c>
      <c r="B1076" s="799">
        <v>360100050000000</v>
      </c>
      <c r="C1076" s="320" t="s">
        <v>2564</v>
      </c>
      <c r="D1076" s="329"/>
      <c r="E1076" s="335">
        <f t="shared" si="17"/>
        <v>-1184071.6399999999</v>
      </c>
      <c r="F1076" s="354">
        <v>-1184071.6399999999</v>
      </c>
      <c r="G1076" s="354"/>
      <c r="H1076" s="335">
        <v>-61261.68</v>
      </c>
      <c r="I1076" s="217"/>
    </row>
    <row r="1077" spans="1:9">
      <c r="A1077" s="401" t="s">
        <v>1967</v>
      </c>
      <c r="B1077" s="800" t="s">
        <v>1068</v>
      </c>
      <c r="C1077" s="317" t="s">
        <v>1671</v>
      </c>
      <c r="D1077" s="328"/>
      <c r="E1077" s="359"/>
      <c r="F1077" s="359"/>
      <c r="G1077" s="359"/>
      <c r="H1077" s="359">
        <v>0</v>
      </c>
    </row>
    <row r="1078" spans="1:9">
      <c r="A1078" s="402" t="s">
        <v>1969</v>
      </c>
      <c r="B1078" s="799">
        <v>360100060000000</v>
      </c>
      <c r="C1078" s="320" t="s">
        <v>2565</v>
      </c>
      <c r="D1078" s="329"/>
      <c r="E1078" s="335">
        <f t="shared" si="17"/>
        <v>5214.12</v>
      </c>
      <c r="F1078" s="354">
        <v>5214.12</v>
      </c>
      <c r="G1078" s="354"/>
      <c r="H1078" s="335">
        <v>-10347.68</v>
      </c>
      <c r="I1078" s="217"/>
    </row>
    <row r="1079" spans="1:9">
      <c r="A1079" s="401" t="s">
        <v>1967</v>
      </c>
      <c r="B1079" s="800" t="s">
        <v>1069</v>
      </c>
      <c r="C1079" s="317" t="s">
        <v>1672</v>
      </c>
      <c r="D1079" s="328"/>
      <c r="E1079" s="359"/>
      <c r="F1079" s="359"/>
      <c r="G1079" s="359"/>
      <c r="H1079" s="359">
        <v>0</v>
      </c>
    </row>
    <row r="1080" spans="1:9">
      <c r="A1080" s="402" t="s">
        <v>1969</v>
      </c>
      <c r="B1080" s="799">
        <v>360100070000000</v>
      </c>
      <c r="C1080" s="320" t="s">
        <v>2566</v>
      </c>
      <c r="D1080" s="329"/>
      <c r="E1080" s="335">
        <f t="shared" si="17"/>
        <v>4090.97</v>
      </c>
      <c r="F1080" s="354">
        <v>4090.97</v>
      </c>
      <c r="G1080" s="354"/>
      <c r="H1080" s="335">
        <v>-28708.95</v>
      </c>
      <c r="I1080" s="217"/>
    </row>
    <row r="1081" spans="1:9">
      <c r="A1081" s="401" t="s">
        <v>1967</v>
      </c>
      <c r="B1081" s="800" t="s">
        <v>1070</v>
      </c>
      <c r="C1081" s="317" t="s">
        <v>1673</v>
      </c>
      <c r="D1081" s="328"/>
      <c r="E1081" s="359"/>
      <c r="F1081" s="359"/>
      <c r="G1081" s="359"/>
      <c r="H1081" s="359">
        <v>0</v>
      </c>
    </row>
    <row r="1082" spans="1:9">
      <c r="A1082" s="402" t="s">
        <v>1969</v>
      </c>
      <c r="B1082" s="799">
        <v>360100080000000</v>
      </c>
      <c r="C1082" s="320" t="s">
        <v>2567</v>
      </c>
      <c r="D1082" s="329"/>
      <c r="E1082" s="335">
        <f t="shared" ref="E1082:E1145" si="18">+F1082+G1082</f>
        <v>-13927.22</v>
      </c>
      <c r="F1082" s="354">
        <v>-13927.22</v>
      </c>
      <c r="G1082" s="354"/>
      <c r="H1082" s="335">
        <v>317917.11</v>
      </c>
      <c r="I1082" s="217"/>
    </row>
    <row r="1083" spans="1:9">
      <c r="A1083" s="401" t="s">
        <v>1965</v>
      </c>
      <c r="B1083" s="800" t="s">
        <v>1071</v>
      </c>
      <c r="C1083" s="317" t="s">
        <v>1674</v>
      </c>
      <c r="D1083" s="328"/>
      <c r="E1083" s="359"/>
      <c r="F1083" s="359"/>
      <c r="G1083" s="359"/>
      <c r="H1083" s="359">
        <v>0</v>
      </c>
    </row>
    <row r="1084" spans="1:9">
      <c r="A1084" s="401" t="s">
        <v>1967</v>
      </c>
      <c r="B1084" s="800" t="s">
        <v>1072</v>
      </c>
      <c r="C1084" s="317" t="s">
        <v>1675</v>
      </c>
      <c r="D1084" s="328"/>
      <c r="E1084" s="359"/>
      <c r="F1084" s="359"/>
      <c r="G1084" s="359"/>
      <c r="H1084" s="359">
        <v>0</v>
      </c>
    </row>
    <row r="1085" spans="1:9">
      <c r="A1085" s="402" t="s">
        <v>1969</v>
      </c>
      <c r="B1085" s="799">
        <v>360200010000000</v>
      </c>
      <c r="C1085" s="320" t="s">
        <v>2568</v>
      </c>
      <c r="D1085" s="329"/>
      <c r="E1085" s="335">
        <f t="shared" si="18"/>
        <v>1809.19</v>
      </c>
      <c r="F1085" s="354">
        <v>1809.19</v>
      </c>
      <c r="G1085" s="354"/>
      <c r="H1085" s="335">
        <v>-224.46</v>
      </c>
      <c r="I1085" s="217"/>
    </row>
    <row r="1086" spans="1:9" ht="25.5">
      <c r="A1086" s="401" t="s">
        <v>1967</v>
      </c>
      <c r="B1086" s="800" t="s">
        <v>1073</v>
      </c>
      <c r="C1086" s="317" t="s">
        <v>1676</v>
      </c>
      <c r="D1086" s="328"/>
      <c r="E1086" s="359"/>
      <c r="F1086" s="359"/>
      <c r="G1086" s="359"/>
      <c r="H1086" s="359">
        <v>0</v>
      </c>
    </row>
    <row r="1087" spans="1:9" ht="24">
      <c r="A1087" s="402" t="s">
        <v>1969</v>
      </c>
      <c r="B1087" s="799">
        <v>360200020000000</v>
      </c>
      <c r="C1087" s="320" t="s">
        <v>2569</v>
      </c>
      <c r="D1087" s="329"/>
      <c r="E1087" s="335">
        <f t="shared" si="18"/>
        <v>162077.07999999999</v>
      </c>
      <c r="F1087" s="354">
        <v>162077.07999999999</v>
      </c>
      <c r="G1087" s="354"/>
      <c r="H1087" s="335">
        <v>411616.5</v>
      </c>
      <c r="I1087" s="217"/>
    </row>
    <row r="1088" spans="1:9">
      <c r="A1088" s="401" t="s">
        <v>1967</v>
      </c>
      <c r="B1088" s="800" t="s">
        <v>1074</v>
      </c>
      <c r="C1088" s="317" t="s">
        <v>1677</v>
      </c>
      <c r="D1088" s="328"/>
      <c r="E1088" s="359"/>
      <c r="F1088" s="359"/>
      <c r="G1088" s="359"/>
      <c r="H1088" s="359">
        <v>0</v>
      </c>
    </row>
    <row r="1089" spans="1:9">
      <c r="A1089" s="402" t="s">
        <v>1969</v>
      </c>
      <c r="B1089" s="799">
        <v>360200030000000</v>
      </c>
      <c r="C1089" s="320" t="s">
        <v>2570</v>
      </c>
      <c r="D1089" s="329"/>
      <c r="E1089" s="335">
        <f t="shared" si="18"/>
        <v>0</v>
      </c>
      <c r="F1089" s="354"/>
      <c r="G1089" s="354"/>
      <c r="H1089" s="335">
        <v>0</v>
      </c>
      <c r="I1089" s="217"/>
    </row>
    <row r="1090" spans="1:9">
      <c r="A1090" s="401" t="s">
        <v>1967</v>
      </c>
      <c r="B1090" s="800" t="s">
        <v>1075</v>
      </c>
      <c r="C1090" s="317" t="s">
        <v>1678</v>
      </c>
      <c r="D1090" s="328"/>
      <c r="E1090" s="359"/>
      <c r="F1090" s="359"/>
      <c r="G1090" s="359"/>
      <c r="H1090" s="359">
        <v>0</v>
      </c>
    </row>
    <row r="1091" spans="1:9">
      <c r="A1091" s="402" t="s">
        <v>1969</v>
      </c>
      <c r="B1091" s="799">
        <v>360200040000000</v>
      </c>
      <c r="C1091" s="320" t="s">
        <v>2571</v>
      </c>
      <c r="D1091" s="329"/>
      <c r="E1091" s="335">
        <f t="shared" si="18"/>
        <v>-5079.0200000000004</v>
      </c>
      <c r="F1091" s="354">
        <v>-5079.0200000000004</v>
      </c>
      <c r="G1091" s="354"/>
      <c r="H1091" s="335">
        <v>7426.1</v>
      </c>
      <c r="I1091" s="217"/>
    </row>
    <row r="1092" spans="1:9">
      <c r="A1092" s="401" t="s">
        <v>1967</v>
      </c>
      <c r="B1092" s="800" t="s">
        <v>1076</v>
      </c>
      <c r="C1092" s="317" t="s">
        <v>1679</v>
      </c>
      <c r="D1092" s="328"/>
      <c r="E1092" s="359"/>
      <c r="F1092" s="359"/>
      <c r="G1092" s="359"/>
      <c r="H1092" s="359">
        <v>0</v>
      </c>
    </row>
    <row r="1093" spans="1:9">
      <c r="A1093" s="402" t="s">
        <v>1969</v>
      </c>
      <c r="B1093" s="799">
        <v>360200050000000</v>
      </c>
      <c r="C1093" s="320" t="s">
        <v>2572</v>
      </c>
      <c r="D1093" s="329"/>
      <c r="E1093" s="335">
        <f t="shared" si="18"/>
        <v>15177.41</v>
      </c>
      <c r="F1093" s="354">
        <v>15177.41</v>
      </c>
      <c r="G1093" s="354"/>
      <c r="H1093" s="335">
        <v>-16552.63</v>
      </c>
      <c r="I1093" s="217"/>
    </row>
    <row r="1094" spans="1:9">
      <c r="A1094" s="401" t="s">
        <v>1967</v>
      </c>
      <c r="B1094" s="800" t="s">
        <v>1077</v>
      </c>
      <c r="C1094" s="317" t="s">
        <v>1680</v>
      </c>
      <c r="D1094" s="328"/>
      <c r="E1094" s="359"/>
      <c r="F1094" s="359"/>
      <c r="G1094" s="359"/>
      <c r="H1094" s="359">
        <v>0</v>
      </c>
    </row>
    <row r="1095" spans="1:9">
      <c r="A1095" s="402" t="s">
        <v>1969</v>
      </c>
      <c r="B1095" s="799">
        <v>360200060000000</v>
      </c>
      <c r="C1095" s="320" t="s">
        <v>2573</v>
      </c>
      <c r="D1095" s="329"/>
      <c r="E1095" s="335">
        <f t="shared" si="18"/>
        <v>-899.72</v>
      </c>
      <c r="F1095" s="354">
        <v>-899.72</v>
      </c>
      <c r="G1095" s="354"/>
      <c r="H1095" s="335">
        <v>3845.12</v>
      </c>
      <c r="I1095" s="217"/>
    </row>
    <row r="1096" spans="1:9">
      <c r="A1096" s="401" t="s">
        <v>1963</v>
      </c>
      <c r="B1096" s="800" t="s">
        <v>1078</v>
      </c>
      <c r="C1096" s="317" t="s">
        <v>2574</v>
      </c>
      <c r="D1096" s="328"/>
      <c r="E1096" s="359"/>
      <c r="F1096" s="359"/>
      <c r="G1096" s="359"/>
      <c r="H1096" s="359">
        <v>0</v>
      </c>
    </row>
    <row r="1097" spans="1:9">
      <c r="A1097" s="401" t="s">
        <v>1965</v>
      </c>
      <c r="B1097" s="800" t="s">
        <v>1079</v>
      </c>
      <c r="C1097" s="317" t="s">
        <v>1682</v>
      </c>
      <c r="D1097" s="328"/>
      <c r="E1097" s="359"/>
      <c r="F1097" s="359"/>
      <c r="G1097" s="359"/>
      <c r="H1097" s="359">
        <v>0</v>
      </c>
    </row>
    <row r="1098" spans="1:9" ht="25.5">
      <c r="A1098" s="401" t="s">
        <v>1967</v>
      </c>
      <c r="B1098" s="800" t="s">
        <v>1081</v>
      </c>
      <c r="C1098" s="317" t="s">
        <v>1683</v>
      </c>
      <c r="D1098" s="328"/>
      <c r="E1098" s="359"/>
      <c r="F1098" s="359"/>
      <c r="G1098" s="359"/>
      <c r="H1098" s="359">
        <v>0</v>
      </c>
    </row>
    <row r="1099" spans="1:9">
      <c r="A1099" s="402" t="s">
        <v>1969</v>
      </c>
      <c r="B1099" s="799">
        <v>365100100000000</v>
      </c>
      <c r="C1099" s="320" t="s">
        <v>1080</v>
      </c>
      <c r="D1099" s="329"/>
      <c r="E1099" s="335">
        <f t="shared" si="18"/>
        <v>51479.6</v>
      </c>
      <c r="F1099" s="354">
        <v>51479.6</v>
      </c>
      <c r="G1099" s="354"/>
      <c r="H1099" s="335">
        <v>0</v>
      </c>
      <c r="I1099" s="217"/>
    </row>
    <row r="1100" spans="1:9" ht="25.5">
      <c r="A1100" s="401" t="s">
        <v>1967</v>
      </c>
      <c r="B1100" s="800" t="s">
        <v>1083</v>
      </c>
      <c r="C1100" s="317" t="s">
        <v>1684</v>
      </c>
      <c r="D1100" s="328"/>
      <c r="E1100" s="359"/>
      <c r="F1100" s="359"/>
      <c r="G1100" s="359"/>
      <c r="H1100" s="359">
        <v>0</v>
      </c>
    </row>
    <row r="1101" spans="1:9">
      <c r="A1101" s="402" t="s">
        <v>1969</v>
      </c>
      <c r="B1101" s="799">
        <v>365100200000000</v>
      </c>
      <c r="C1101" s="320" t="s">
        <v>1082</v>
      </c>
      <c r="D1101" s="329"/>
      <c r="E1101" s="335">
        <f t="shared" si="18"/>
        <v>0</v>
      </c>
      <c r="F1101" s="354"/>
      <c r="G1101" s="354"/>
      <c r="H1101" s="335">
        <v>0</v>
      </c>
      <c r="I1101" s="217"/>
    </row>
    <row r="1102" spans="1:9" ht="25.5">
      <c r="A1102" s="401" t="s">
        <v>1967</v>
      </c>
      <c r="B1102" s="800" t="s">
        <v>1085</v>
      </c>
      <c r="C1102" s="317" t="s">
        <v>1685</v>
      </c>
      <c r="D1102" s="328"/>
      <c r="E1102" s="359"/>
      <c r="F1102" s="359"/>
      <c r="G1102" s="359"/>
      <c r="H1102" s="359">
        <v>0</v>
      </c>
    </row>
    <row r="1103" spans="1:9" ht="24">
      <c r="A1103" s="402" t="s">
        <v>1969</v>
      </c>
      <c r="B1103" s="799">
        <v>365100300000000</v>
      </c>
      <c r="C1103" s="320" t="s">
        <v>1084</v>
      </c>
      <c r="D1103" s="329"/>
      <c r="E1103" s="335">
        <f t="shared" si="18"/>
        <v>0</v>
      </c>
      <c r="F1103" s="354"/>
      <c r="G1103" s="354"/>
      <c r="H1103" s="335">
        <v>0</v>
      </c>
      <c r="I1103" s="217"/>
    </row>
    <row r="1104" spans="1:9" ht="25.5">
      <c r="A1104" s="401" t="s">
        <v>1967</v>
      </c>
      <c r="B1104" s="800" t="s">
        <v>1087</v>
      </c>
      <c r="C1104" s="317" t="s">
        <v>1686</v>
      </c>
      <c r="D1104" s="328"/>
      <c r="E1104" s="359"/>
      <c r="F1104" s="359"/>
      <c r="G1104" s="359"/>
      <c r="H1104" s="359">
        <v>0</v>
      </c>
    </row>
    <row r="1105" spans="1:9" ht="24">
      <c r="A1105" s="402" t="s">
        <v>1969</v>
      </c>
      <c r="B1105" s="799">
        <v>365100400000000</v>
      </c>
      <c r="C1105" s="320" t="s">
        <v>1086</v>
      </c>
      <c r="D1105" s="329"/>
      <c r="E1105" s="335">
        <f t="shared" si="18"/>
        <v>0</v>
      </c>
      <c r="F1105" s="354"/>
      <c r="G1105" s="354"/>
      <c r="H1105" s="335">
        <v>0</v>
      </c>
      <c r="I1105" s="217"/>
    </row>
    <row r="1106" spans="1:9">
      <c r="A1106" s="401" t="s">
        <v>1967</v>
      </c>
      <c r="B1106" s="800" t="s">
        <v>1089</v>
      </c>
      <c r="C1106" s="317" t="s">
        <v>1687</v>
      </c>
      <c r="D1106" s="328"/>
      <c r="E1106" s="359"/>
      <c r="F1106" s="359"/>
      <c r="G1106" s="359"/>
      <c r="H1106" s="359">
        <v>0</v>
      </c>
    </row>
    <row r="1107" spans="1:9">
      <c r="A1107" s="402" t="s">
        <v>1969</v>
      </c>
      <c r="B1107" s="799">
        <v>365100450000000</v>
      </c>
      <c r="C1107" s="320" t="s">
        <v>1088</v>
      </c>
      <c r="D1107" s="329"/>
      <c r="E1107" s="335">
        <f t="shared" si="18"/>
        <v>17111727.780000001</v>
      </c>
      <c r="F1107" s="354">
        <v>17111727.780000001</v>
      </c>
      <c r="G1107" s="354"/>
      <c r="H1107" s="335">
        <v>13801743.380000001</v>
      </c>
      <c r="I1107" s="217"/>
    </row>
    <row r="1108" spans="1:9">
      <c r="A1108" s="401" t="s">
        <v>1967</v>
      </c>
      <c r="B1108" s="800" t="s">
        <v>1091</v>
      </c>
      <c r="C1108" s="317" t="s">
        <v>1688</v>
      </c>
      <c r="D1108" s="328"/>
      <c r="E1108" s="359"/>
      <c r="F1108" s="359"/>
      <c r="G1108" s="359"/>
      <c r="H1108" s="359">
        <v>0</v>
      </c>
    </row>
    <row r="1109" spans="1:9">
      <c r="A1109" s="402" t="s">
        <v>1969</v>
      </c>
      <c r="B1109" s="799">
        <v>365100500100000</v>
      </c>
      <c r="C1109" s="320" t="s">
        <v>1092</v>
      </c>
      <c r="D1109" s="329"/>
      <c r="E1109" s="335">
        <f t="shared" si="18"/>
        <v>0</v>
      </c>
      <c r="F1109" s="354"/>
      <c r="G1109" s="354"/>
      <c r="H1109" s="335">
        <v>0</v>
      </c>
      <c r="I1109" s="217"/>
    </row>
    <row r="1110" spans="1:9">
      <c r="A1110" s="402" t="s">
        <v>1969</v>
      </c>
      <c r="B1110" s="799">
        <v>365100500200000</v>
      </c>
      <c r="C1110" s="320" t="s">
        <v>1093</v>
      </c>
      <c r="D1110" s="329"/>
      <c r="E1110" s="335">
        <f t="shared" si="18"/>
        <v>0</v>
      </c>
      <c r="F1110" s="354"/>
      <c r="G1110" s="354"/>
      <c r="H1110" s="335">
        <v>0</v>
      </c>
      <c r="I1110" s="217"/>
    </row>
    <row r="1111" spans="1:9">
      <c r="A1111" s="402" t="s">
        <v>1969</v>
      </c>
      <c r="B1111" s="799">
        <v>365100500900000</v>
      </c>
      <c r="C1111" s="320" t="s">
        <v>1090</v>
      </c>
      <c r="D1111" s="329"/>
      <c r="E1111" s="335">
        <f t="shared" si="18"/>
        <v>0</v>
      </c>
      <c r="F1111" s="354"/>
      <c r="G1111" s="354"/>
      <c r="H1111" s="335">
        <v>0</v>
      </c>
      <c r="I1111" s="217"/>
    </row>
    <row r="1112" spans="1:9">
      <c r="A1112" s="401" t="s">
        <v>1967</v>
      </c>
      <c r="B1112" s="800" t="s">
        <v>1095</v>
      </c>
      <c r="C1112" s="317" t="s">
        <v>2575</v>
      </c>
      <c r="D1112" s="328"/>
      <c r="E1112" s="359"/>
      <c r="F1112" s="359"/>
      <c r="G1112" s="359"/>
      <c r="H1112" s="359">
        <v>0</v>
      </c>
    </row>
    <row r="1113" spans="1:9">
      <c r="A1113" s="402" t="s">
        <v>1969</v>
      </c>
      <c r="B1113" s="799">
        <v>365100600000000</v>
      </c>
      <c r="C1113" s="320" t="s">
        <v>1094</v>
      </c>
      <c r="D1113" s="329"/>
      <c r="E1113" s="335">
        <f t="shared" si="18"/>
        <v>0</v>
      </c>
      <c r="F1113" s="354"/>
      <c r="G1113" s="354"/>
      <c r="H1113" s="335">
        <v>1000000</v>
      </c>
      <c r="I1113" s="217"/>
    </row>
    <row r="1114" spans="1:9">
      <c r="A1114" s="401" t="s">
        <v>1965</v>
      </c>
      <c r="B1114" s="800" t="s">
        <v>1096</v>
      </c>
      <c r="C1114" s="317" t="s">
        <v>1690</v>
      </c>
      <c r="D1114" s="328"/>
      <c r="E1114" s="359"/>
      <c r="F1114" s="359"/>
      <c r="G1114" s="359"/>
      <c r="H1114" s="359">
        <v>0</v>
      </c>
    </row>
    <row r="1115" spans="1:9">
      <c r="A1115" s="402">
        <v>5</v>
      </c>
      <c r="B1115" s="799">
        <v>365200100000000</v>
      </c>
      <c r="C1115" s="320" t="s">
        <v>1097</v>
      </c>
      <c r="D1115" s="329"/>
      <c r="E1115" s="335">
        <f t="shared" si="18"/>
        <v>0</v>
      </c>
      <c r="F1115" s="354"/>
      <c r="G1115" s="354"/>
      <c r="H1115" s="335">
        <v>0</v>
      </c>
      <c r="I1115" s="217"/>
    </row>
    <row r="1116" spans="1:9">
      <c r="A1116" s="402">
        <v>5</v>
      </c>
      <c r="B1116" s="799">
        <v>365200200000000</v>
      </c>
      <c r="C1116" s="320" t="s">
        <v>1098</v>
      </c>
      <c r="D1116" s="329"/>
      <c r="E1116" s="335">
        <f t="shared" si="18"/>
        <v>0</v>
      </c>
      <c r="F1116" s="354"/>
      <c r="G1116" s="354"/>
      <c r="H1116" s="335">
        <v>0</v>
      </c>
      <c r="I1116" s="217"/>
    </row>
    <row r="1117" spans="1:9" ht="25.5">
      <c r="A1117" s="401" t="s">
        <v>1965</v>
      </c>
      <c r="B1117" s="800" t="s">
        <v>1099</v>
      </c>
      <c r="C1117" s="317" t="s">
        <v>2576</v>
      </c>
      <c r="D1117" s="328"/>
      <c r="E1117" s="359"/>
      <c r="F1117" s="359"/>
      <c r="G1117" s="359"/>
      <c r="H1117" s="359">
        <v>0</v>
      </c>
    </row>
    <row r="1118" spans="1:9" ht="25.5">
      <c r="A1118" s="401" t="s">
        <v>1967</v>
      </c>
      <c r="B1118" s="800" t="s">
        <v>1100</v>
      </c>
      <c r="C1118" s="317" t="s">
        <v>1692</v>
      </c>
      <c r="D1118" s="328"/>
      <c r="E1118" s="359"/>
      <c r="F1118" s="359"/>
      <c r="G1118" s="359"/>
      <c r="H1118" s="359">
        <v>0</v>
      </c>
    </row>
    <row r="1119" spans="1:9" ht="24">
      <c r="A1119" s="402" t="s">
        <v>1969</v>
      </c>
      <c r="B1119" s="799">
        <v>365300050000000</v>
      </c>
      <c r="C1119" s="320" t="s">
        <v>2577</v>
      </c>
      <c r="D1119" s="329"/>
      <c r="E1119" s="335">
        <f t="shared" si="18"/>
        <v>2472260.96</v>
      </c>
      <c r="F1119" s="354">
        <v>2472260.96</v>
      </c>
      <c r="G1119" s="354"/>
      <c r="H1119" s="335">
        <v>15774563</v>
      </c>
      <c r="I1119" s="217"/>
    </row>
    <row r="1120" spans="1:9" ht="25.5">
      <c r="A1120" s="401" t="s">
        <v>1967</v>
      </c>
      <c r="B1120" s="800" t="s">
        <v>1102</v>
      </c>
      <c r="C1120" s="317" t="s">
        <v>1693</v>
      </c>
      <c r="D1120" s="328"/>
      <c r="E1120" s="359"/>
      <c r="F1120" s="359"/>
      <c r="G1120" s="359"/>
      <c r="H1120" s="359">
        <v>0</v>
      </c>
    </row>
    <row r="1121" spans="1:9" ht="24">
      <c r="A1121" s="402" t="s">
        <v>1969</v>
      </c>
      <c r="B1121" s="799">
        <v>365300100000000</v>
      </c>
      <c r="C1121" s="320" t="s">
        <v>1101</v>
      </c>
      <c r="D1121" s="329"/>
      <c r="E1121" s="335">
        <f t="shared" si="18"/>
        <v>0</v>
      </c>
      <c r="F1121" s="354"/>
      <c r="G1121" s="354"/>
      <c r="H1121" s="335">
        <v>0</v>
      </c>
      <c r="I1121" s="217"/>
    </row>
    <row r="1122" spans="1:9" ht="25.5">
      <c r="A1122" s="401" t="s">
        <v>1967</v>
      </c>
      <c r="B1122" s="800" t="s">
        <v>1104</v>
      </c>
      <c r="C1122" s="317" t="s">
        <v>1694</v>
      </c>
      <c r="D1122" s="328"/>
      <c r="E1122" s="359"/>
      <c r="F1122" s="359"/>
      <c r="G1122" s="359"/>
      <c r="H1122" s="359">
        <v>0</v>
      </c>
    </row>
    <row r="1123" spans="1:9" ht="24">
      <c r="A1123" s="402" t="s">
        <v>1969</v>
      </c>
      <c r="B1123" s="799">
        <v>365300200000000</v>
      </c>
      <c r="C1123" s="320" t="s">
        <v>1103</v>
      </c>
      <c r="D1123" s="329"/>
      <c r="E1123" s="335">
        <f t="shared" si="18"/>
        <v>30854886.870000001</v>
      </c>
      <c r="F1123" s="354">
        <v>30854886.870000001</v>
      </c>
      <c r="G1123" s="354"/>
      <c r="H1123" s="335">
        <v>2103220.54</v>
      </c>
      <c r="I1123" s="217"/>
    </row>
    <row r="1124" spans="1:9" ht="25.5">
      <c r="A1124" s="401" t="s">
        <v>1967</v>
      </c>
      <c r="B1124" s="800" t="s">
        <v>1106</v>
      </c>
      <c r="C1124" s="317" t="s">
        <v>1695</v>
      </c>
      <c r="D1124" s="328"/>
      <c r="E1124" s="359"/>
      <c r="F1124" s="359"/>
      <c r="G1124" s="359"/>
      <c r="H1124" s="359">
        <v>0</v>
      </c>
    </row>
    <row r="1125" spans="1:9" ht="24">
      <c r="A1125" s="402" t="s">
        <v>1969</v>
      </c>
      <c r="B1125" s="799">
        <v>365300300000000</v>
      </c>
      <c r="C1125" s="320" t="s">
        <v>1105</v>
      </c>
      <c r="D1125" s="329"/>
      <c r="E1125" s="335">
        <f t="shared" si="18"/>
        <v>0</v>
      </c>
      <c r="F1125" s="354"/>
      <c r="G1125" s="354"/>
      <c r="H1125" s="335">
        <v>0</v>
      </c>
      <c r="I1125" s="217"/>
    </row>
    <row r="1126" spans="1:9" ht="25.5">
      <c r="A1126" s="401" t="s">
        <v>1967</v>
      </c>
      <c r="B1126" s="800" t="s">
        <v>1107</v>
      </c>
      <c r="C1126" s="317" t="s">
        <v>1696</v>
      </c>
      <c r="D1126" s="328"/>
      <c r="E1126" s="359"/>
      <c r="F1126" s="359"/>
      <c r="G1126" s="359"/>
      <c r="H1126" s="359">
        <v>0</v>
      </c>
    </row>
    <row r="1127" spans="1:9" ht="24">
      <c r="A1127" s="402">
        <v>6</v>
      </c>
      <c r="B1127" s="799">
        <v>365300400100000</v>
      </c>
      <c r="C1127" s="320" t="s">
        <v>1108</v>
      </c>
      <c r="D1127" s="329"/>
      <c r="E1127" s="335">
        <f t="shared" si="18"/>
        <v>0</v>
      </c>
      <c r="F1127" s="354"/>
      <c r="G1127" s="354"/>
      <c r="H1127" s="335">
        <v>0</v>
      </c>
      <c r="I1127" s="217"/>
    </row>
    <row r="1128" spans="1:9" ht="24">
      <c r="A1128" s="402">
        <v>6</v>
      </c>
      <c r="B1128" s="799">
        <v>365300400200000</v>
      </c>
      <c r="C1128" s="320" t="s">
        <v>1109</v>
      </c>
      <c r="D1128" s="329"/>
      <c r="E1128" s="335">
        <f t="shared" si="18"/>
        <v>106568.58</v>
      </c>
      <c r="F1128" s="354">
        <v>106568.58</v>
      </c>
      <c r="G1128" s="354"/>
      <c r="H1128" s="335">
        <v>225.23</v>
      </c>
      <c r="I1128" s="217"/>
    </row>
    <row r="1129" spans="1:9" ht="25.5">
      <c r="A1129" s="401" t="s">
        <v>1967</v>
      </c>
      <c r="B1129" s="800" t="s">
        <v>1111</v>
      </c>
      <c r="C1129" s="317" t="s">
        <v>1697</v>
      </c>
      <c r="D1129" s="328"/>
      <c r="E1129" s="359"/>
      <c r="F1129" s="359"/>
      <c r="G1129" s="359"/>
      <c r="H1129" s="359">
        <v>0</v>
      </c>
    </row>
    <row r="1130" spans="1:9" ht="24">
      <c r="A1130" s="402" t="s">
        <v>1969</v>
      </c>
      <c r="B1130" s="799">
        <v>365300500000000</v>
      </c>
      <c r="C1130" s="320" t="s">
        <v>1110</v>
      </c>
      <c r="D1130" s="329"/>
      <c r="E1130" s="335">
        <f t="shared" si="18"/>
        <v>0</v>
      </c>
      <c r="F1130" s="354"/>
      <c r="G1130" s="354"/>
      <c r="H1130" s="335">
        <v>0</v>
      </c>
      <c r="I1130" s="217"/>
    </row>
    <row r="1131" spans="1:9">
      <c r="A1131" s="401" t="s">
        <v>1965</v>
      </c>
      <c r="B1131" s="800" t="s">
        <v>1113</v>
      </c>
      <c r="C1131" s="317" t="s">
        <v>1698</v>
      </c>
      <c r="D1131" s="328"/>
      <c r="E1131" s="359"/>
      <c r="F1131" s="359"/>
      <c r="G1131" s="359"/>
      <c r="H1131" s="359">
        <v>0</v>
      </c>
    </row>
    <row r="1132" spans="1:9">
      <c r="A1132" s="401" t="s">
        <v>1967</v>
      </c>
      <c r="B1132" s="800" t="s">
        <v>1115</v>
      </c>
      <c r="C1132" s="317" t="s">
        <v>1699</v>
      </c>
      <c r="D1132" s="328"/>
      <c r="E1132" s="359"/>
      <c r="F1132" s="359"/>
      <c r="G1132" s="359"/>
      <c r="H1132" s="359">
        <v>0</v>
      </c>
    </row>
    <row r="1133" spans="1:9">
      <c r="A1133" s="402" t="s">
        <v>1969</v>
      </c>
      <c r="B1133" s="799">
        <v>365400200000000</v>
      </c>
      <c r="C1133" s="320" t="s">
        <v>1114</v>
      </c>
      <c r="D1133" s="329"/>
      <c r="E1133" s="335">
        <f t="shared" si="18"/>
        <v>0</v>
      </c>
      <c r="F1133" s="354"/>
      <c r="G1133" s="354"/>
      <c r="H1133" s="335">
        <v>0</v>
      </c>
      <c r="I1133" s="217"/>
    </row>
    <row r="1134" spans="1:9">
      <c r="A1134" s="401" t="s">
        <v>1967</v>
      </c>
      <c r="B1134" s="800" t="s">
        <v>1117</v>
      </c>
      <c r="C1134" s="317" t="s">
        <v>1700</v>
      </c>
      <c r="D1134" s="328"/>
      <c r="E1134" s="359"/>
      <c r="F1134" s="359"/>
      <c r="G1134" s="359"/>
      <c r="H1134" s="359">
        <v>0</v>
      </c>
    </row>
    <row r="1135" spans="1:9">
      <c r="A1135" s="402" t="s">
        <v>1969</v>
      </c>
      <c r="B1135" s="799">
        <v>365400300000000</v>
      </c>
      <c r="C1135" s="320" t="s">
        <v>1116</v>
      </c>
      <c r="D1135" s="329"/>
      <c r="E1135" s="335">
        <f t="shared" si="18"/>
        <v>0</v>
      </c>
      <c r="F1135" s="354"/>
      <c r="G1135" s="354"/>
      <c r="H1135" s="335">
        <v>0</v>
      </c>
      <c r="I1135" s="217"/>
    </row>
    <row r="1136" spans="1:9">
      <c r="A1136" s="401" t="s">
        <v>1967</v>
      </c>
      <c r="B1136" s="800" t="s">
        <v>1119</v>
      </c>
      <c r="C1136" s="317" t="s">
        <v>1701</v>
      </c>
      <c r="D1136" s="328"/>
      <c r="E1136" s="359"/>
      <c r="F1136" s="359"/>
      <c r="G1136" s="359"/>
      <c r="H1136" s="359">
        <v>0</v>
      </c>
    </row>
    <row r="1137" spans="1:9">
      <c r="A1137" s="402" t="s">
        <v>1969</v>
      </c>
      <c r="B1137" s="799">
        <v>365400400000000</v>
      </c>
      <c r="C1137" s="320" t="s">
        <v>1118</v>
      </c>
      <c r="D1137" s="329"/>
      <c r="E1137" s="335">
        <f t="shared" si="18"/>
        <v>22075</v>
      </c>
      <c r="F1137" s="354">
        <v>22075</v>
      </c>
      <c r="G1137" s="354"/>
      <c r="H1137" s="335">
        <v>2013788.41</v>
      </c>
      <c r="I1137" s="217"/>
    </row>
    <row r="1138" spans="1:9">
      <c r="A1138" s="401" t="s">
        <v>1967</v>
      </c>
      <c r="B1138" s="800" t="s">
        <v>1121</v>
      </c>
      <c r="C1138" s="317" t="s">
        <v>1702</v>
      </c>
      <c r="D1138" s="328"/>
      <c r="E1138" s="359"/>
      <c r="F1138" s="359"/>
      <c r="G1138" s="359"/>
      <c r="H1138" s="359">
        <v>0</v>
      </c>
    </row>
    <row r="1139" spans="1:9">
      <c r="A1139" s="402" t="s">
        <v>1969</v>
      </c>
      <c r="B1139" s="799">
        <v>365400500000000</v>
      </c>
      <c r="C1139" s="320" t="s">
        <v>1120</v>
      </c>
      <c r="D1139" s="329"/>
      <c r="E1139" s="335">
        <f t="shared" si="18"/>
        <v>47026</v>
      </c>
      <c r="F1139" s="354">
        <v>47026</v>
      </c>
      <c r="G1139" s="354"/>
      <c r="H1139" s="335">
        <v>68721.3</v>
      </c>
      <c r="I1139" s="217"/>
    </row>
    <row r="1140" spans="1:9">
      <c r="A1140" s="401" t="s">
        <v>1967</v>
      </c>
      <c r="B1140" s="800" t="s">
        <v>1123</v>
      </c>
      <c r="C1140" s="317" t="s">
        <v>1703</v>
      </c>
      <c r="D1140" s="328"/>
      <c r="E1140" s="359"/>
      <c r="F1140" s="359"/>
      <c r="G1140" s="359"/>
      <c r="H1140" s="359">
        <v>0</v>
      </c>
    </row>
    <row r="1141" spans="1:9">
      <c r="A1141" s="402" t="s">
        <v>1969</v>
      </c>
      <c r="B1141" s="799">
        <v>365400600000000</v>
      </c>
      <c r="C1141" s="320" t="s">
        <v>1122</v>
      </c>
      <c r="D1141" s="329"/>
      <c r="E1141" s="335">
        <f t="shared" si="18"/>
        <v>115648</v>
      </c>
      <c r="F1141" s="354">
        <v>115648</v>
      </c>
      <c r="G1141" s="354"/>
      <c r="H1141" s="335">
        <v>0</v>
      </c>
      <c r="I1141" s="217"/>
    </row>
    <row r="1142" spans="1:9">
      <c r="A1142" s="401" t="s">
        <v>1967</v>
      </c>
      <c r="B1142" s="800" t="s">
        <v>1125</v>
      </c>
      <c r="C1142" s="317" t="s">
        <v>1704</v>
      </c>
      <c r="D1142" s="328"/>
      <c r="E1142" s="359"/>
      <c r="F1142" s="359"/>
      <c r="G1142" s="359"/>
      <c r="H1142" s="359">
        <v>0</v>
      </c>
    </row>
    <row r="1143" spans="1:9">
      <c r="A1143" s="402" t="s">
        <v>1969</v>
      </c>
      <c r="B1143" s="799">
        <v>365400610000000</v>
      </c>
      <c r="C1143" s="320" t="s">
        <v>1124</v>
      </c>
      <c r="D1143" s="329"/>
      <c r="E1143" s="335">
        <f t="shared" si="18"/>
        <v>0</v>
      </c>
      <c r="F1143" s="354"/>
      <c r="G1143" s="354"/>
      <c r="H1143" s="335">
        <v>0</v>
      </c>
      <c r="I1143" s="217"/>
    </row>
    <row r="1144" spans="1:9">
      <c r="A1144" s="401" t="s">
        <v>1967</v>
      </c>
      <c r="B1144" s="800" t="s">
        <v>1127</v>
      </c>
      <c r="C1144" s="317" t="s">
        <v>1705</v>
      </c>
      <c r="D1144" s="328"/>
      <c r="E1144" s="359"/>
      <c r="F1144" s="359"/>
      <c r="G1144" s="359"/>
      <c r="H1144" s="359">
        <v>0</v>
      </c>
    </row>
    <row r="1145" spans="1:9">
      <c r="A1145" s="402" t="s">
        <v>1969</v>
      </c>
      <c r="B1145" s="799">
        <v>365400620000000</v>
      </c>
      <c r="C1145" s="320" t="s">
        <v>1126</v>
      </c>
      <c r="D1145" s="329"/>
      <c r="E1145" s="335">
        <f t="shared" si="18"/>
        <v>0</v>
      </c>
      <c r="F1145" s="354"/>
      <c r="G1145" s="354"/>
      <c r="H1145" s="335">
        <v>0</v>
      </c>
      <c r="I1145" s="217"/>
    </row>
    <row r="1146" spans="1:9">
      <c r="A1146" s="401" t="s">
        <v>1967</v>
      </c>
      <c r="B1146" s="800" t="s">
        <v>1129</v>
      </c>
      <c r="C1146" s="317" t="s">
        <v>2578</v>
      </c>
      <c r="D1146" s="328"/>
      <c r="E1146" s="359"/>
      <c r="F1146" s="359"/>
      <c r="G1146" s="359"/>
      <c r="H1146" s="359">
        <v>0</v>
      </c>
    </row>
    <row r="1147" spans="1:9">
      <c r="A1147" s="402" t="s">
        <v>1969</v>
      </c>
      <c r="B1147" s="799">
        <v>365400630000000</v>
      </c>
      <c r="C1147" s="320" t="s">
        <v>1128</v>
      </c>
      <c r="D1147" s="329"/>
      <c r="E1147" s="335">
        <f t="shared" ref="E1147:E1208" si="19">+F1147+G1147</f>
        <v>0</v>
      </c>
      <c r="F1147" s="354"/>
      <c r="G1147" s="354"/>
      <c r="H1147" s="335">
        <v>0</v>
      </c>
      <c r="I1147" s="217"/>
    </row>
    <row r="1148" spans="1:9" ht="25.5">
      <c r="A1148" s="401" t="s">
        <v>1967</v>
      </c>
      <c r="B1148" s="800" t="s">
        <v>1131</v>
      </c>
      <c r="C1148" s="317" t="s">
        <v>1707</v>
      </c>
      <c r="D1148" s="328"/>
      <c r="E1148" s="359"/>
      <c r="F1148" s="359"/>
      <c r="G1148" s="359"/>
      <c r="H1148" s="359">
        <v>0</v>
      </c>
    </row>
    <row r="1149" spans="1:9">
      <c r="A1149" s="402" t="s">
        <v>1969</v>
      </c>
      <c r="B1149" s="799">
        <v>365400640000000</v>
      </c>
      <c r="C1149" s="320" t="s">
        <v>1130</v>
      </c>
      <c r="D1149" s="329"/>
      <c r="E1149" s="335">
        <f t="shared" si="19"/>
        <v>249330.8</v>
      </c>
      <c r="F1149" s="354">
        <v>249330.8</v>
      </c>
      <c r="G1149" s="354"/>
      <c r="H1149" s="335">
        <v>3449.65</v>
      </c>
      <c r="I1149" s="217"/>
    </row>
    <row r="1150" spans="1:9">
      <c r="A1150" s="401" t="s">
        <v>1967</v>
      </c>
      <c r="B1150" s="800" t="s">
        <v>1132</v>
      </c>
      <c r="C1150" s="317" t="s">
        <v>1708</v>
      </c>
      <c r="D1150" s="328"/>
      <c r="E1150" s="359"/>
      <c r="F1150" s="359"/>
      <c r="G1150" s="359"/>
      <c r="H1150" s="359">
        <v>0</v>
      </c>
    </row>
    <row r="1151" spans="1:9">
      <c r="A1151" s="402" t="s">
        <v>1969</v>
      </c>
      <c r="B1151" s="799">
        <v>365400700000000</v>
      </c>
      <c r="C1151" s="320" t="s">
        <v>1112</v>
      </c>
      <c r="D1151" s="329"/>
      <c r="E1151" s="335">
        <f t="shared" si="19"/>
        <v>0</v>
      </c>
      <c r="F1151" s="354"/>
      <c r="G1151" s="354"/>
      <c r="H1151" s="335">
        <v>525113.68999999994</v>
      </c>
      <c r="I1151" s="217"/>
    </row>
    <row r="1152" spans="1:9">
      <c r="A1152" s="401">
        <v>2</v>
      </c>
      <c r="B1152" s="800" t="s">
        <v>2579</v>
      </c>
      <c r="C1152" s="317" t="s">
        <v>2580</v>
      </c>
      <c r="D1152" s="328"/>
      <c r="E1152" s="359"/>
      <c r="F1152" s="359"/>
      <c r="G1152" s="359"/>
      <c r="H1152" s="359">
        <v>0</v>
      </c>
    </row>
    <row r="1153" spans="1:9">
      <c r="A1153" s="401" t="s">
        <v>1963</v>
      </c>
      <c r="B1153" s="800" t="s">
        <v>1133</v>
      </c>
      <c r="C1153" s="317" t="s">
        <v>2582</v>
      </c>
      <c r="D1153" s="328"/>
      <c r="E1153" s="359"/>
      <c r="F1153" s="359"/>
      <c r="G1153" s="359"/>
      <c r="H1153" s="359">
        <v>0</v>
      </c>
    </row>
    <row r="1154" spans="1:9">
      <c r="A1154" s="401" t="s">
        <v>1965</v>
      </c>
      <c r="B1154" s="800" t="s">
        <v>1135</v>
      </c>
      <c r="C1154" s="317" t="s">
        <v>1723</v>
      </c>
      <c r="D1154" s="328"/>
      <c r="E1154" s="359"/>
      <c r="F1154" s="359"/>
      <c r="G1154" s="359"/>
      <c r="H1154" s="359">
        <v>0</v>
      </c>
    </row>
    <row r="1155" spans="1:9">
      <c r="A1155" s="402" t="s">
        <v>1967</v>
      </c>
      <c r="B1155" s="799">
        <v>370100000000000</v>
      </c>
      <c r="C1155" s="320" t="s">
        <v>1134</v>
      </c>
      <c r="D1155" s="329"/>
      <c r="E1155" s="335">
        <f t="shared" si="19"/>
        <v>0</v>
      </c>
      <c r="F1155" s="354"/>
      <c r="G1155" s="354"/>
      <c r="H1155" s="335">
        <v>0</v>
      </c>
      <c r="I1155" s="217"/>
    </row>
    <row r="1156" spans="1:9">
      <c r="A1156" s="401" t="s">
        <v>1965</v>
      </c>
      <c r="B1156" s="800" t="s">
        <v>1137</v>
      </c>
      <c r="C1156" s="317" t="s">
        <v>1724</v>
      </c>
      <c r="D1156" s="328"/>
      <c r="E1156" s="359"/>
      <c r="F1156" s="359"/>
      <c r="G1156" s="359"/>
      <c r="H1156" s="359">
        <v>0</v>
      </c>
    </row>
    <row r="1157" spans="1:9">
      <c r="A1157" s="402" t="s">
        <v>1967</v>
      </c>
      <c r="B1157" s="799">
        <v>370200000000000</v>
      </c>
      <c r="C1157" s="320" t="s">
        <v>1136</v>
      </c>
      <c r="D1157" s="329"/>
      <c r="E1157" s="335">
        <f t="shared" si="19"/>
        <v>0</v>
      </c>
      <c r="F1157" s="354"/>
      <c r="G1157" s="354"/>
      <c r="H1157" s="335">
        <v>0</v>
      </c>
      <c r="I1157" s="217"/>
    </row>
    <row r="1158" spans="1:9">
      <c r="A1158" s="401" t="s">
        <v>1965</v>
      </c>
      <c r="B1158" s="800" t="s">
        <v>1139</v>
      </c>
      <c r="C1158" s="317" t="s">
        <v>1725</v>
      </c>
      <c r="D1158" s="328"/>
      <c r="E1158" s="359"/>
      <c r="F1158" s="359"/>
      <c r="G1158" s="359"/>
      <c r="H1158" s="359">
        <v>0</v>
      </c>
    </row>
    <row r="1159" spans="1:9">
      <c r="A1159" s="402">
        <v>5</v>
      </c>
      <c r="B1159" s="799">
        <v>370300100000000</v>
      </c>
      <c r="C1159" s="320" t="s">
        <v>2583</v>
      </c>
      <c r="D1159" s="329"/>
      <c r="E1159" s="335">
        <f t="shared" si="19"/>
        <v>0</v>
      </c>
      <c r="F1159" s="354"/>
      <c r="G1159" s="354"/>
      <c r="H1159" s="335">
        <v>0</v>
      </c>
      <c r="I1159" s="217"/>
    </row>
    <row r="1160" spans="1:9">
      <c r="A1160" s="402">
        <v>5</v>
      </c>
      <c r="B1160" s="799">
        <v>370300900000000</v>
      </c>
      <c r="C1160" s="320" t="s">
        <v>1138</v>
      </c>
      <c r="D1160" s="329"/>
      <c r="E1160" s="335">
        <f t="shared" si="19"/>
        <v>0</v>
      </c>
      <c r="F1160" s="354"/>
      <c r="G1160" s="354"/>
      <c r="H1160" s="335">
        <v>0</v>
      </c>
      <c r="I1160" s="217"/>
    </row>
    <row r="1161" spans="1:9">
      <c r="A1161" s="401" t="s">
        <v>1963</v>
      </c>
      <c r="B1161" s="800" t="s">
        <v>1726</v>
      </c>
      <c r="C1161" s="317" t="s">
        <v>1727</v>
      </c>
      <c r="D1161" s="328"/>
      <c r="E1161" s="359"/>
      <c r="F1161" s="359"/>
      <c r="G1161" s="359"/>
      <c r="H1161" s="359">
        <v>0</v>
      </c>
    </row>
    <row r="1162" spans="1:9">
      <c r="A1162" s="401" t="s">
        <v>1965</v>
      </c>
      <c r="B1162" s="800" t="s">
        <v>1141</v>
      </c>
      <c r="C1162" s="317" t="s">
        <v>1728</v>
      </c>
      <c r="D1162" s="328"/>
      <c r="E1162" s="359"/>
      <c r="F1162" s="359"/>
      <c r="G1162" s="359"/>
      <c r="H1162" s="359">
        <v>0</v>
      </c>
    </row>
    <row r="1163" spans="1:9">
      <c r="A1163" s="402" t="s">
        <v>1967</v>
      </c>
      <c r="B1163" s="799">
        <v>375100000000000</v>
      </c>
      <c r="C1163" s="320" t="s">
        <v>1140</v>
      </c>
      <c r="D1163" s="329"/>
      <c r="E1163" s="335">
        <f t="shared" si="19"/>
        <v>0</v>
      </c>
      <c r="F1163" s="354"/>
      <c r="G1163" s="354"/>
      <c r="H1163" s="335">
        <v>0</v>
      </c>
      <c r="I1163" s="217"/>
    </row>
    <row r="1164" spans="1:9">
      <c r="A1164" s="401" t="s">
        <v>1965</v>
      </c>
      <c r="B1164" s="800" t="s">
        <v>1143</v>
      </c>
      <c r="C1164" s="317" t="s">
        <v>1729</v>
      </c>
      <c r="D1164" s="328"/>
      <c r="E1164" s="359"/>
      <c r="F1164" s="359"/>
      <c r="G1164" s="359"/>
      <c r="H1164" s="359">
        <v>0</v>
      </c>
    </row>
    <row r="1165" spans="1:9">
      <c r="A1165" s="402" t="s">
        <v>1967</v>
      </c>
      <c r="B1165" s="799">
        <v>375200000000000</v>
      </c>
      <c r="C1165" s="320" t="s">
        <v>1142</v>
      </c>
      <c r="D1165" s="329"/>
      <c r="E1165" s="335">
        <f t="shared" si="19"/>
        <v>0</v>
      </c>
      <c r="F1165" s="354"/>
      <c r="G1165" s="354"/>
      <c r="H1165" s="335">
        <v>0</v>
      </c>
      <c r="I1165" s="217"/>
    </row>
    <row r="1166" spans="1:9">
      <c r="A1166" s="401">
        <v>2</v>
      </c>
      <c r="B1166" s="800" t="s">
        <v>2584</v>
      </c>
      <c r="C1166" s="317" t="s">
        <v>2585</v>
      </c>
      <c r="D1166" s="317"/>
      <c r="E1166" s="361"/>
      <c r="F1166" s="361"/>
      <c r="G1166" s="361"/>
      <c r="H1166" s="361">
        <v>0</v>
      </c>
    </row>
    <row r="1167" spans="1:9">
      <c r="A1167" s="401" t="s">
        <v>1963</v>
      </c>
      <c r="B1167" s="800" t="s">
        <v>1145</v>
      </c>
      <c r="C1167" s="317" t="s">
        <v>2587</v>
      </c>
      <c r="D1167" s="317"/>
      <c r="E1167" s="361"/>
      <c r="F1167" s="361"/>
      <c r="G1167" s="361"/>
      <c r="H1167" s="361">
        <v>0</v>
      </c>
    </row>
    <row r="1168" spans="1:9">
      <c r="A1168" s="402" t="s">
        <v>1965</v>
      </c>
      <c r="B1168" s="799">
        <v>380000000000000</v>
      </c>
      <c r="C1168" s="320" t="s">
        <v>1144</v>
      </c>
      <c r="D1168" s="329"/>
      <c r="E1168" s="335">
        <f t="shared" si="19"/>
        <v>0</v>
      </c>
      <c r="F1168" s="354"/>
      <c r="G1168" s="354"/>
      <c r="H1168" s="335">
        <v>0</v>
      </c>
      <c r="I1168" s="217"/>
    </row>
    <row r="1169" spans="1:9">
      <c r="A1169" s="393" t="s">
        <v>1960</v>
      </c>
      <c r="B1169" s="800" t="s">
        <v>2588</v>
      </c>
      <c r="C1169" s="316" t="s">
        <v>2589</v>
      </c>
      <c r="D1169" s="318"/>
      <c r="E1169" s="362"/>
      <c r="F1169" s="362"/>
      <c r="G1169" s="362"/>
      <c r="H1169" s="362">
        <v>0</v>
      </c>
    </row>
    <row r="1170" spans="1:9">
      <c r="A1170" s="401" t="s">
        <v>1963</v>
      </c>
      <c r="B1170" s="800" t="s">
        <v>1146</v>
      </c>
      <c r="C1170" s="317" t="s">
        <v>1766</v>
      </c>
      <c r="D1170" s="328"/>
      <c r="E1170" s="359"/>
      <c r="F1170" s="359"/>
      <c r="G1170" s="359"/>
      <c r="H1170" s="359">
        <v>0</v>
      </c>
    </row>
    <row r="1171" spans="1:9">
      <c r="A1171" s="401" t="s">
        <v>1965</v>
      </c>
      <c r="B1171" s="800" t="s">
        <v>1148</v>
      </c>
      <c r="C1171" s="317" t="s">
        <v>1767</v>
      </c>
      <c r="D1171" s="328"/>
      <c r="E1171" s="359"/>
      <c r="F1171" s="359"/>
      <c r="G1171" s="359"/>
      <c r="H1171" s="359">
        <v>0</v>
      </c>
    </row>
    <row r="1172" spans="1:9">
      <c r="A1172" s="402" t="s">
        <v>1967</v>
      </c>
      <c r="B1172" s="799">
        <v>390100000000000</v>
      </c>
      <c r="C1172" s="320" t="s">
        <v>1147</v>
      </c>
      <c r="D1172" s="329"/>
      <c r="E1172" s="335">
        <f t="shared" si="19"/>
        <v>405.65</v>
      </c>
      <c r="F1172" s="354">
        <v>405.65</v>
      </c>
      <c r="G1172" s="354"/>
      <c r="H1172" s="335">
        <v>0</v>
      </c>
      <c r="I1172" s="217"/>
    </row>
    <row r="1173" spans="1:9">
      <c r="A1173" s="401" t="s">
        <v>1965</v>
      </c>
      <c r="B1173" s="800" t="s">
        <v>1150</v>
      </c>
      <c r="C1173" s="317" t="s">
        <v>1768</v>
      </c>
      <c r="D1173" s="328"/>
      <c r="E1173" s="359"/>
      <c r="F1173" s="359"/>
      <c r="G1173" s="359"/>
      <c r="H1173" s="359">
        <v>0</v>
      </c>
    </row>
    <row r="1174" spans="1:9">
      <c r="A1174" s="401" t="s">
        <v>1967</v>
      </c>
      <c r="B1174" s="800" t="s">
        <v>1152</v>
      </c>
      <c r="C1174" s="317" t="s">
        <v>1769</v>
      </c>
      <c r="D1174" s="328"/>
      <c r="E1174" s="359"/>
      <c r="F1174" s="359"/>
      <c r="G1174" s="359"/>
      <c r="H1174" s="359">
        <v>0</v>
      </c>
    </row>
    <row r="1175" spans="1:9">
      <c r="A1175" s="402" t="s">
        <v>1969</v>
      </c>
      <c r="B1175" s="799">
        <v>390200100000000</v>
      </c>
      <c r="C1175" s="320" t="s">
        <v>1151</v>
      </c>
      <c r="D1175" s="329"/>
      <c r="E1175" s="335">
        <f t="shared" si="19"/>
        <v>0</v>
      </c>
      <c r="F1175" s="354"/>
      <c r="G1175" s="354"/>
      <c r="H1175" s="335">
        <v>0</v>
      </c>
      <c r="I1175" s="217"/>
    </row>
    <row r="1176" spans="1:9">
      <c r="A1176" s="401" t="s">
        <v>1967</v>
      </c>
      <c r="B1176" s="800" t="s">
        <v>1154</v>
      </c>
      <c r="C1176" s="317" t="s">
        <v>1770</v>
      </c>
      <c r="D1176" s="328"/>
      <c r="E1176" s="359"/>
      <c r="F1176" s="359"/>
      <c r="G1176" s="359"/>
      <c r="H1176" s="359">
        <v>0</v>
      </c>
    </row>
    <row r="1177" spans="1:9">
      <c r="A1177" s="402" t="s">
        <v>1969</v>
      </c>
      <c r="B1177" s="799">
        <v>390200200000000</v>
      </c>
      <c r="C1177" s="320" t="s">
        <v>1153</v>
      </c>
      <c r="D1177" s="329"/>
      <c r="E1177" s="335">
        <f t="shared" si="19"/>
        <v>0</v>
      </c>
      <c r="F1177" s="354"/>
      <c r="G1177" s="354"/>
      <c r="H1177" s="335">
        <v>0</v>
      </c>
      <c r="I1177" s="217"/>
    </row>
    <row r="1178" spans="1:9">
      <c r="A1178" s="401" t="s">
        <v>1967</v>
      </c>
      <c r="B1178" s="800" t="s">
        <v>1155</v>
      </c>
      <c r="C1178" s="317" t="s">
        <v>1771</v>
      </c>
      <c r="D1178" s="328"/>
      <c r="E1178" s="359"/>
      <c r="F1178" s="359"/>
      <c r="G1178" s="359"/>
      <c r="H1178" s="359">
        <v>0</v>
      </c>
    </row>
    <row r="1179" spans="1:9" ht="25.5">
      <c r="A1179" s="401" t="s">
        <v>1969</v>
      </c>
      <c r="B1179" s="800" t="s">
        <v>1156</v>
      </c>
      <c r="C1179" s="317" t="s">
        <v>1772</v>
      </c>
      <c r="D1179" s="328" t="s">
        <v>1248</v>
      </c>
      <c r="E1179" s="359"/>
      <c r="F1179" s="359"/>
      <c r="G1179" s="359"/>
      <c r="H1179" s="359">
        <v>0</v>
      </c>
    </row>
    <row r="1180" spans="1:9" ht="25.5">
      <c r="A1180" s="401" t="s">
        <v>1970</v>
      </c>
      <c r="B1180" s="800" t="s">
        <v>1158</v>
      </c>
      <c r="C1180" s="317" t="s">
        <v>1773</v>
      </c>
      <c r="D1180" s="328" t="s">
        <v>1248</v>
      </c>
      <c r="E1180" s="359"/>
      <c r="F1180" s="359"/>
      <c r="G1180" s="359"/>
      <c r="H1180" s="359">
        <v>0</v>
      </c>
    </row>
    <row r="1181" spans="1:9" ht="24">
      <c r="A1181" s="402" t="s">
        <v>2017</v>
      </c>
      <c r="B1181" s="799">
        <v>390200300101000</v>
      </c>
      <c r="C1181" s="320" t="s">
        <v>1157</v>
      </c>
      <c r="D1181" s="329" t="s">
        <v>1248</v>
      </c>
      <c r="E1181" s="335">
        <f t="shared" si="19"/>
        <v>0</v>
      </c>
      <c r="F1181" s="354"/>
      <c r="G1181" s="354"/>
      <c r="H1181" s="335">
        <v>0</v>
      </c>
      <c r="I1181" s="217"/>
    </row>
    <row r="1182" spans="1:9" ht="25.5">
      <c r="A1182" s="401" t="s">
        <v>1970</v>
      </c>
      <c r="B1182" s="800" t="s">
        <v>1160</v>
      </c>
      <c r="C1182" s="317" t="s">
        <v>1774</v>
      </c>
      <c r="D1182" s="328" t="s">
        <v>1248</v>
      </c>
      <c r="E1182" s="359"/>
      <c r="F1182" s="359"/>
      <c r="G1182" s="359"/>
      <c r="H1182" s="359">
        <v>0</v>
      </c>
    </row>
    <row r="1183" spans="1:9" ht="24">
      <c r="A1183" s="402" t="s">
        <v>2017</v>
      </c>
      <c r="B1183" s="799">
        <v>390200300102000</v>
      </c>
      <c r="C1183" s="320" t="s">
        <v>1159</v>
      </c>
      <c r="D1183" s="329" t="s">
        <v>1248</v>
      </c>
      <c r="E1183" s="335">
        <f t="shared" si="19"/>
        <v>7001035.6100000003</v>
      </c>
      <c r="F1183" s="354">
        <v>7001035.6100000003</v>
      </c>
      <c r="G1183" s="354"/>
      <c r="H1183" s="335">
        <v>114209.15</v>
      </c>
      <c r="I1183" s="217"/>
    </row>
    <row r="1184" spans="1:9">
      <c r="A1184" s="401" t="s">
        <v>1969</v>
      </c>
      <c r="B1184" s="800" t="s">
        <v>1161</v>
      </c>
      <c r="C1184" s="317" t="s">
        <v>1775</v>
      </c>
      <c r="D1184" s="328"/>
      <c r="E1184" s="359"/>
      <c r="F1184" s="359"/>
      <c r="G1184" s="359"/>
      <c r="H1184" s="359">
        <v>0</v>
      </c>
    </row>
    <row r="1185" spans="1:9" ht="25.5">
      <c r="A1185" s="401" t="s">
        <v>1970</v>
      </c>
      <c r="B1185" s="800" t="s">
        <v>1163</v>
      </c>
      <c r="C1185" s="317" t="s">
        <v>1776</v>
      </c>
      <c r="D1185" s="328"/>
      <c r="E1185" s="359"/>
      <c r="F1185" s="359"/>
      <c r="G1185" s="359"/>
      <c r="H1185" s="359">
        <v>0</v>
      </c>
    </row>
    <row r="1186" spans="1:9" ht="24">
      <c r="A1186" s="402" t="s">
        <v>2017</v>
      </c>
      <c r="B1186" s="799">
        <v>390200300201000</v>
      </c>
      <c r="C1186" s="320" t="s">
        <v>1162</v>
      </c>
      <c r="D1186" s="329"/>
      <c r="E1186" s="335">
        <f t="shared" si="19"/>
        <v>0</v>
      </c>
      <c r="F1186" s="354"/>
      <c r="G1186" s="354"/>
      <c r="H1186" s="335">
        <v>0</v>
      </c>
      <c r="I1186" s="217"/>
    </row>
    <row r="1187" spans="1:9" ht="25.5">
      <c r="A1187" s="401" t="s">
        <v>1970</v>
      </c>
      <c r="B1187" s="800" t="s">
        <v>1164</v>
      </c>
      <c r="C1187" s="317" t="s">
        <v>1777</v>
      </c>
      <c r="D1187" s="328"/>
      <c r="E1187" s="359"/>
      <c r="F1187" s="359"/>
      <c r="G1187" s="359"/>
      <c r="H1187" s="359">
        <v>0</v>
      </c>
    </row>
    <row r="1188" spans="1:9" ht="25.5">
      <c r="A1188" s="401" t="s">
        <v>2017</v>
      </c>
      <c r="B1188" s="800" t="s">
        <v>1166</v>
      </c>
      <c r="C1188" s="317" t="s">
        <v>1778</v>
      </c>
      <c r="D1188" s="328"/>
      <c r="E1188" s="359"/>
      <c r="F1188" s="359"/>
      <c r="G1188" s="359"/>
      <c r="H1188" s="359">
        <v>0</v>
      </c>
    </row>
    <row r="1189" spans="1:9" ht="24">
      <c r="A1189" s="402" t="s">
        <v>2591</v>
      </c>
      <c r="B1189" s="799">
        <v>390200300202005</v>
      </c>
      <c r="C1189" s="320" t="s">
        <v>1165</v>
      </c>
      <c r="D1189" s="329"/>
      <c r="E1189" s="335">
        <f t="shared" si="19"/>
        <v>0</v>
      </c>
      <c r="F1189" s="354"/>
      <c r="G1189" s="354"/>
      <c r="H1189" s="335">
        <v>0</v>
      </c>
      <c r="I1189" s="217"/>
    </row>
    <row r="1190" spans="1:9" ht="25.5">
      <c r="A1190" s="401" t="s">
        <v>2017</v>
      </c>
      <c r="B1190" s="800" t="s">
        <v>1168</v>
      </c>
      <c r="C1190" s="317" t="s">
        <v>1779</v>
      </c>
      <c r="D1190" s="328"/>
      <c r="E1190" s="359"/>
      <c r="F1190" s="359"/>
      <c r="G1190" s="359"/>
      <c r="H1190" s="359">
        <v>0</v>
      </c>
    </row>
    <row r="1191" spans="1:9" ht="24">
      <c r="A1191" s="402" t="s">
        <v>2591</v>
      </c>
      <c r="B1191" s="799">
        <v>390200300202010</v>
      </c>
      <c r="C1191" s="320" t="s">
        <v>1167</v>
      </c>
      <c r="D1191" s="329"/>
      <c r="E1191" s="335">
        <f t="shared" si="19"/>
        <v>0</v>
      </c>
      <c r="F1191" s="354"/>
      <c r="G1191" s="354"/>
      <c r="H1191" s="335">
        <v>0</v>
      </c>
      <c r="I1191" s="217"/>
    </row>
    <row r="1192" spans="1:9" ht="25.5">
      <c r="A1192" s="401" t="s">
        <v>2017</v>
      </c>
      <c r="B1192" s="800" t="s">
        <v>1170</v>
      </c>
      <c r="C1192" s="317" t="s">
        <v>1780</v>
      </c>
      <c r="D1192" s="328"/>
      <c r="E1192" s="359"/>
      <c r="F1192" s="359"/>
      <c r="G1192" s="359"/>
      <c r="H1192" s="359">
        <v>0</v>
      </c>
    </row>
    <row r="1193" spans="1:9">
      <c r="A1193" s="402" t="s">
        <v>2591</v>
      </c>
      <c r="B1193" s="799">
        <v>390200300202015</v>
      </c>
      <c r="C1193" s="320" t="s">
        <v>1169</v>
      </c>
      <c r="D1193" s="329"/>
      <c r="E1193" s="335">
        <f t="shared" si="19"/>
        <v>47157.88</v>
      </c>
      <c r="F1193" s="354">
        <v>47157.88</v>
      </c>
      <c r="G1193" s="354"/>
      <c r="H1193" s="335">
        <v>0</v>
      </c>
      <c r="I1193" s="217"/>
    </row>
    <row r="1194" spans="1:9" ht="25.5">
      <c r="A1194" s="401" t="s">
        <v>1970</v>
      </c>
      <c r="B1194" s="800" t="s">
        <v>1172</v>
      </c>
      <c r="C1194" s="317" t="s">
        <v>1781</v>
      </c>
      <c r="D1194" s="328"/>
      <c r="E1194" s="359"/>
      <c r="F1194" s="359"/>
      <c r="G1194" s="359"/>
      <c r="H1194" s="359">
        <v>0</v>
      </c>
    </row>
    <row r="1195" spans="1:9" ht="24">
      <c r="A1195" s="402" t="s">
        <v>2017</v>
      </c>
      <c r="B1195" s="799">
        <v>390200300203000</v>
      </c>
      <c r="C1195" s="320" t="s">
        <v>1171</v>
      </c>
      <c r="D1195" s="329"/>
      <c r="E1195" s="335">
        <f t="shared" si="19"/>
        <v>0</v>
      </c>
      <c r="F1195" s="354"/>
      <c r="G1195" s="354"/>
      <c r="H1195" s="335">
        <v>0</v>
      </c>
      <c r="I1195" s="217"/>
    </row>
    <row r="1196" spans="1:9" ht="25.5">
      <c r="A1196" s="401" t="s">
        <v>1970</v>
      </c>
      <c r="B1196" s="800" t="s">
        <v>1174</v>
      </c>
      <c r="C1196" s="317" t="s">
        <v>1782</v>
      </c>
      <c r="D1196" s="328"/>
      <c r="E1196" s="359"/>
      <c r="F1196" s="359"/>
      <c r="G1196" s="359"/>
      <c r="H1196" s="359">
        <v>0</v>
      </c>
    </row>
    <row r="1197" spans="1:9" ht="24">
      <c r="A1197" s="402" t="s">
        <v>2017</v>
      </c>
      <c r="B1197" s="799">
        <v>390200300204000</v>
      </c>
      <c r="C1197" s="320" t="s">
        <v>1173</v>
      </c>
      <c r="D1197" s="329"/>
      <c r="E1197" s="335">
        <f t="shared" si="19"/>
        <v>0</v>
      </c>
      <c r="F1197" s="354"/>
      <c r="G1197" s="354"/>
      <c r="H1197" s="335">
        <v>0</v>
      </c>
      <c r="I1197" s="217"/>
    </row>
    <row r="1198" spans="1:9" ht="25.5">
      <c r="A1198" s="401" t="s">
        <v>1970</v>
      </c>
      <c r="B1198" s="800" t="s">
        <v>1176</v>
      </c>
      <c r="C1198" s="317" t="s">
        <v>1783</v>
      </c>
      <c r="D1198" s="328"/>
      <c r="E1198" s="359"/>
      <c r="F1198" s="359"/>
      <c r="G1198" s="359"/>
      <c r="H1198" s="359">
        <v>0</v>
      </c>
    </row>
    <row r="1199" spans="1:9" ht="24">
      <c r="A1199" s="402" t="s">
        <v>2017</v>
      </c>
      <c r="B1199" s="799">
        <v>390200300205000</v>
      </c>
      <c r="C1199" s="320" t="s">
        <v>1175</v>
      </c>
      <c r="D1199" s="329"/>
      <c r="E1199" s="335">
        <f t="shared" si="19"/>
        <v>0</v>
      </c>
      <c r="F1199" s="354"/>
      <c r="G1199" s="354"/>
      <c r="H1199" s="335">
        <v>0</v>
      </c>
      <c r="I1199" s="217"/>
    </row>
    <row r="1200" spans="1:9" ht="25.5">
      <c r="A1200" s="401" t="s">
        <v>1970</v>
      </c>
      <c r="B1200" s="800" t="s">
        <v>1178</v>
      </c>
      <c r="C1200" s="317" t="s">
        <v>1784</v>
      </c>
      <c r="D1200" s="328"/>
      <c r="E1200" s="359"/>
      <c r="F1200" s="359"/>
      <c r="G1200" s="359"/>
      <c r="H1200" s="359">
        <v>0</v>
      </c>
    </row>
    <row r="1201" spans="1:9" ht="24">
      <c r="A1201" s="402" t="s">
        <v>2017</v>
      </c>
      <c r="B1201" s="799">
        <v>390200300206000</v>
      </c>
      <c r="C1201" s="320" t="s">
        <v>1177</v>
      </c>
      <c r="D1201" s="329"/>
      <c r="E1201" s="335">
        <f t="shared" si="19"/>
        <v>3974.07</v>
      </c>
      <c r="F1201" s="354">
        <v>3974.07</v>
      </c>
      <c r="G1201" s="354"/>
      <c r="H1201" s="335">
        <v>2180.34</v>
      </c>
      <c r="I1201" s="217"/>
    </row>
    <row r="1202" spans="1:9">
      <c r="A1202" s="401" t="s">
        <v>1970</v>
      </c>
      <c r="B1202" s="800" t="s">
        <v>1180</v>
      </c>
      <c r="C1202" s="317" t="s">
        <v>1785</v>
      </c>
      <c r="D1202" s="328"/>
      <c r="E1202" s="359"/>
      <c r="F1202" s="359"/>
      <c r="G1202" s="359"/>
      <c r="H1202" s="359">
        <v>0</v>
      </c>
    </row>
    <row r="1203" spans="1:9">
      <c r="A1203" s="402" t="s">
        <v>2017</v>
      </c>
      <c r="B1203" s="799">
        <v>390200300209000</v>
      </c>
      <c r="C1203" s="320" t="s">
        <v>1179</v>
      </c>
      <c r="D1203" s="329"/>
      <c r="E1203" s="335">
        <f t="shared" si="19"/>
        <v>79057.399999999994</v>
      </c>
      <c r="F1203" s="354">
        <v>79057.399999999994</v>
      </c>
      <c r="G1203" s="354"/>
      <c r="H1203" s="335">
        <v>43973.89</v>
      </c>
      <c r="I1203" s="217"/>
    </row>
    <row r="1204" spans="1:9">
      <c r="A1204" s="401" t="s">
        <v>1967</v>
      </c>
      <c r="B1204" s="800" t="s">
        <v>1181</v>
      </c>
      <c r="C1204" s="317" t="s">
        <v>1786</v>
      </c>
      <c r="D1204" s="328"/>
      <c r="E1204" s="359"/>
      <c r="F1204" s="359"/>
      <c r="G1204" s="359"/>
      <c r="H1204" s="359">
        <v>0</v>
      </c>
    </row>
    <row r="1205" spans="1:9">
      <c r="A1205" s="401" t="s">
        <v>1969</v>
      </c>
      <c r="B1205" s="800" t="s">
        <v>1183</v>
      </c>
      <c r="C1205" s="317" t="s">
        <v>1787</v>
      </c>
      <c r="D1205" s="328"/>
      <c r="E1205" s="359"/>
      <c r="F1205" s="359"/>
      <c r="G1205" s="359"/>
      <c r="H1205" s="359">
        <v>0</v>
      </c>
    </row>
    <row r="1206" spans="1:9">
      <c r="A1206" s="402" t="s">
        <v>1970</v>
      </c>
      <c r="B1206" s="799">
        <v>390200400500000</v>
      </c>
      <c r="C1206" s="320" t="s">
        <v>1182</v>
      </c>
      <c r="D1206" s="329"/>
      <c r="E1206" s="335">
        <f t="shared" si="19"/>
        <v>178072.75</v>
      </c>
      <c r="F1206" s="354">
        <v>178072.75</v>
      </c>
      <c r="G1206" s="354"/>
      <c r="H1206" s="335">
        <v>0</v>
      </c>
      <c r="I1206" s="217"/>
    </row>
    <row r="1207" spans="1:9" ht="25.5">
      <c r="A1207" s="401" t="s">
        <v>1969</v>
      </c>
      <c r="B1207" s="800" t="s">
        <v>1185</v>
      </c>
      <c r="C1207" s="317" t="s">
        <v>1788</v>
      </c>
      <c r="D1207" s="328" t="s">
        <v>1248</v>
      </c>
      <c r="E1207" s="359"/>
      <c r="F1207" s="359"/>
      <c r="G1207" s="359"/>
      <c r="H1207" s="359">
        <v>0</v>
      </c>
    </row>
    <row r="1208" spans="1:9" ht="24">
      <c r="A1208" s="402" t="s">
        <v>1970</v>
      </c>
      <c r="B1208" s="799">
        <v>390200400100000</v>
      </c>
      <c r="C1208" s="320" t="s">
        <v>1184</v>
      </c>
      <c r="D1208" s="329" t="s">
        <v>1248</v>
      </c>
      <c r="E1208" s="335">
        <f t="shared" si="19"/>
        <v>0</v>
      </c>
      <c r="F1208" s="354"/>
      <c r="G1208" s="354"/>
      <c r="H1208" s="335">
        <v>130.63999999999999</v>
      </c>
      <c r="I1208" s="217"/>
    </row>
    <row r="1209" spans="1:9">
      <c r="A1209" s="401" t="s">
        <v>1969</v>
      </c>
      <c r="B1209" s="800" t="s">
        <v>1186</v>
      </c>
      <c r="C1209" s="317" t="s">
        <v>1789</v>
      </c>
      <c r="D1209" s="328"/>
      <c r="E1209" s="359"/>
      <c r="F1209" s="359"/>
      <c r="G1209" s="359"/>
      <c r="H1209" s="359">
        <v>0</v>
      </c>
    </row>
    <row r="1210" spans="1:9" ht="25.5">
      <c r="A1210" s="401" t="s">
        <v>1970</v>
      </c>
      <c r="B1210" s="800" t="s">
        <v>1188</v>
      </c>
      <c r="C1210" s="317" t="s">
        <v>1790</v>
      </c>
      <c r="D1210" s="328"/>
      <c r="E1210" s="359"/>
      <c r="F1210" s="359"/>
      <c r="G1210" s="359"/>
      <c r="H1210" s="359">
        <v>0</v>
      </c>
    </row>
    <row r="1211" spans="1:9" ht="24">
      <c r="A1211" s="402" t="s">
        <v>2017</v>
      </c>
      <c r="B1211" s="799">
        <v>390200400201000</v>
      </c>
      <c r="C1211" s="320" t="s">
        <v>1187</v>
      </c>
      <c r="D1211" s="329"/>
      <c r="E1211" s="335">
        <f t="shared" ref="E1211:E1242" si="20">+F1211+G1211</f>
        <v>0</v>
      </c>
      <c r="F1211" s="354"/>
      <c r="G1211" s="354"/>
      <c r="H1211" s="335">
        <v>0</v>
      </c>
      <c r="I1211" s="217"/>
    </row>
    <row r="1212" spans="1:9" ht="25.5">
      <c r="A1212" s="401" t="s">
        <v>1970</v>
      </c>
      <c r="B1212" s="800" t="s">
        <v>1190</v>
      </c>
      <c r="C1212" s="317" t="s">
        <v>1791</v>
      </c>
      <c r="D1212" s="328"/>
      <c r="E1212" s="359"/>
      <c r="F1212" s="359"/>
      <c r="G1212" s="359"/>
      <c r="H1212" s="359">
        <v>0</v>
      </c>
    </row>
    <row r="1213" spans="1:9">
      <c r="A1213" s="402" t="s">
        <v>2017</v>
      </c>
      <c r="B1213" s="799">
        <v>390200400202000</v>
      </c>
      <c r="C1213" s="320" t="s">
        <v>1189</v>
      </c>
      <c r="D1213" s="329"/>
      <c r="E1213" s="335">
        <f t="shared" si="20"/>
        <v>0</v>
      </c>
      <c r="F1213" s="354"/>
      <c r="G1213" s="354"/>
      <c r="H1213" s="335">
        <v>0</v>
      </c>
      <c r="I1213" s="217"/>
    </row>
    <row r="1214" spans="1:9" ht="25.5">
      <c r="A1214" s="401" t="s">
        <v>1970</v>
      </c>
      <c r="B1214" s="800" t="s">
        <v>1192</v>
      </c>
      <c r="C1214" s="317" t="s">
        <v>1792</v>
      </c>
      <c r="D1214" s="328"/>
      <c r="E1214" s="359"/>
      <c r="F1214" s="359"/>
      <c r="G1214" s="359"/>
      <c r="H1214" s="359">
        <v>0</v>
      </c>
    </row>
    <row r="1215" spans="1:9" ht="24">
      <c r="A1215" s="402" t="s">
        <v>2017</v>
      </c>
      <c r="B1215" s="799">
        <v>390200400203000</v>
      </c>
      <c r="C1215" s="320" t="s">
        <v>1191</v>
      </c>
      <c r="D1215" s="329"/>
      <c r="E1215" s="335">
        <f t="shared" si="20"/>
        <v>0</v>
      </c>
      <c r="F1215" s="354"/>
      <c r="G1215" s="354"/>
      <c r="H1215" s="335">
        <v>0</v>
      </c>
      <c r="I1215" s="217"/>
    </row>
    <row r="1216" spans="1:9" ht="25.5">
      <c r="A1216" s="401" t="s">
        <v>1970</v>
      </c>
      <c r="B1216" s="800" t="s">
        <v>1194</v>
      </c>
      <c r="C1216" s="317" t="s">
        <v>1793</v>
      </c>
      <c r="D1216" s="328"/>
      <c r="E1216" s="359"/>
      <c r="F1216" s="359"/>
      <c r="G1216" s="359"/>
      <c r="H1216" s="359">
        <v>0</v>
      </c>
    </row>
    <row r="1217" spans="1:9" ht="24">
      <c r="A1217" s="402" t="s">
        <v>2017</v>
      </c>
      <c r="B1217" s="799">
        <v>390200400204000</v>
      </c>
      <c r="C1217" s="320" t="s">
        <v>1193</v>
      </c>
      <c r="D1217" s="329"/>
      <c r="E1217" s="335">
        <f t="shared" si="20"/>
        <v>0</v>
      </c>
      <c r="F1217" s="354"/>
      <c r="G1217" s="354"/>
      <c r="H1217" s="335">
        <v>0</v>
      </c>
      <c r="I1217" s="217"/>
    </row>
    <row r="1218" spans="1:9" ht="25.5">
      <c r="A1218" s="401" t="s">
        <v>1970</v>
      </c>
      <c r="B1218" s="800" t="s">
        <v>1196</v>
      </c>
      <c r="C1218" s="317" t="s">
        <v>1794</v>
      </c>
      <c r="D1218" s="328"/>
      <c r="E1218" s="359"/>
      <c r="F1218" s="359"/>
      <c r="G1218" s="359"/>
      <c r="H1218" s="359">
        <v>0</v>
      </c>
    </row>
    <row r="1219" spans="1:9" ht="24">
      <c r="A1219" s="402" t="s">
        <v>2017</v>
      </c>
      <c r="B1219" s="799">
        <v>390200400205000</v>
      </c>
      <c r="C1219" s="320" t="s">
        <v>1195</v>
      </c>
      <c r="D1219" s="329"/>
      <c r="E1219" s="335">
        <f t="shared" si="20"/>
        <v>0</v>
      </c>
      <c r="F1219" s="354"/>
      <c r="G1219" s="354"/>
      <c r="H1219" s="335">
        <v>0</v>
      </c>
      <c r="I1219" s="217"/>
    </row>
    <row r="1220" spans="1:9" ht="25.5">
      <c r="A1220" s="401" t="s">
        <v>1970</v>
      </c>
      <c r="B1220" s="800" t="s">
        <v>1198</v>
      </c>
      <c r="C1220" s="317" t="s">
        <v>1795</v>
      </c>
      <c r="D1220" s="328"/>
      <c r="E1220" s="359"/>
      <c r="F1220" s="359"/>
      <c r="G1220" s="359"/>
      <c r="H1220" s="359">
        <v>0</v>
      </c>
    </row>
    <row r="1221" spans="1:9" ht="24">
      <c r="A1221" s="402" t="s">
        <v>2017</v>
      </c>
      <c r="B1221" s="799">
        <v>390200400206000</v>
      </c>
      <c r="C1221" s="320" t="s">
        <v>1197</v>
      </c>
      <c r="D1221" s="329"/>
      <c r="E1221" s="335">
        <f t="shared" si="20"/>
        <v>683.68</v>
      </c>
      <c r="F1221" s="354">
        <v>683.68</v>
      </c>
      <c r="G1221" s="354"/>
      <c r="H1221" s="335">
        <v>0</v>
      </c>
      <c r="I1221" s="217"/>
    </row>
    <row r="1222" spans="1:9">
      <c r="A1222" s="401" t="s">
        <v>1970</v>
      </c>
      <c r="B1222" s="800" t="s">
        <v>1200</v>
      </c>
      <c r="C1222" s="317" t="s">
        <v>1796</v>
      </c>
      <c r="D1222" s="328"/>
      <c r="E1222" s="359"/>
      <c r="F1222" s="359"/>
      <c r="G1222" s="359"/>
      <c r="H1222" s="359">
        <v>0</v>
      </c>
    </row>
    <row r="1223" spans="1:9">
      <c r="A1223" s="402" t="s">
        <v>2017</v>
      </c>
      <c r="B1223" s="799">
        <v>390200400207000</v>
      </c>
      <c r="C1223" s="320" t="s">
        <v>1199</v>
      </c>
      <c r="D1223" s="329"/>
      <c r="E1223" s="335">
        <f t="shared" si="20"/>
        <v>747.84</v>
      </c>
      <c r="F1223" s="354">
        <v>747.84</v>
      </c>
      <c r="G1223" s="354"/>
      <c r="H1223" s="335">
        <v>11655.51</v>
      </c>
      <c r="I1223" s="217"/>
    </row>
    <row r="1224" spans="1:9">
      <c r="A1224" s="401" t="s">
        <v>1967</v>
      </c>
      <c r="B1224" s="800" t="s">
        <v>1201</v>
      </c>
      <c r="C1224" s="317" t="s">
        <v>1797</v>
      </c>
      <c r="D1224" s="328"/>
      <c r="E1224" s="359"/>
      <c r="F1224" s="359"/>
      <c r="G1224" s="359"/>
      <c r="H1224" s="359">
        <v>0</v>
      </c>
    </row>
    <row r="1225" spans="1:9">
      <c r="A1225" s="402" t="s">
        <v>1969</v>
      </c>
      <c r="B1225" s="799">
        <v>390200500000000</v>
      </c>
      <c r="C1225" s="320" t="s">
        <v>1149</v>
      </c>
      <c r="D1225" s="329"/>
      <c r="E1225" s="335">
        <f t="shared" si="20"/>
        <v>59.13</v>
      </c>
      <c r="F1225" s="354">
        <v>59.13</v>
      </c>
      <c r="G1225" s="354"/>
      <c r="H1225" s="335">
        <v>9361.89</v>
      </c>
      <c r="I1225" s="217"/>
    </row>
    <row r="1226" spans="1:9">
      <c r="A1226" s="401" t="s">
        <v>1960</v>
      </c>
      <c r="B1226" s="800" t="s">
        <v>2592</v>
      </c>
      <c r="C1226" s="317" t="s">
        <v>2593</v>
      </c>
      <c r="D1226" s="328"/>
      <c r="E1226" s="359"/>
      <c r="F1226" s="359"/>
      <c r="G1226" s="359"/>
      <c r="H1226" s="359">
        <v>0</v>
      </c>
    </row>
    <row r="1227" spans="1:9">
      <c r="A1227" s="401" t="s">
        <v>1963</v>
      </c>
      <c r="B1227" s="800" t="s">
        <v>1202</v>
      </c>
      <c r="C1227" s="317" t="s">
        <v>1803</v>
      </c>
      <c r="D1227" s="328"/>
      <c r="E1227" s="359"/>
      <c r="F1227" s="359"/>
      <c r="G1227" s="359"/>
      <c r="H1227" s="359">
        <v>0</v>
      </c>
    </row>
    <row r="1228" spans="1:9">
      <c r="A1228" s="401" t="s">
        <v>1965</v>
      </c>
      <c r="B1228" s="800" t="s">
        <v>1204</v>
      </c>
      <c r="C1228" s="317" t="s">
        <v>1804</v>
      </c>
      <c r="D1228" s="328"/>
      <c r="E1228" s="359"/>
      <c r="F1228" s="359"/>
      <c r="G1228" s="359"/>
      <c r="H1228" s="359">
        <v>0</v>
      </c>
    </row>
    <row r="1229" spans="1:9">
      <c r="A1229" s="402" t="s">
        <v>1967</v>
      </c>
      <c r="B1229" s="799">
        <v>400100000000000</v>
      </c>
      <c r="C1229" s="320" t="s">
        <v>1203</v>
      </c>
      <c r="D1229" s="329"/>
      <c r="E1229" s="335">
        <f t="shared" si="20"/>
        <v>826376.67</v>
      </c>
      <c r="F1229" s="354">
        <v>826376.67</v>
      </c>
      <c r="G1229" s="354"/>
      <c r="H1229" s="335">
        <v>710792.57</v>
      </c>
      <c r="I1229" s="217"/>
    </row>
    <row r="1230" spans="1:9" ht="25.5">
      <c r="A1230" s="401" t="s">
        <v>1965</v>
      </c>
      <c r="B1230" s="800" t="s">
        <v>1206</v>
      </c>
      <c r="C1230" s="317" t="s">
        <v>1805</v>
      </c>
      <c r="D1230" s="328"/>
      <c r="E1230" s="359"/>
      <c r="F1230" s="359"/>
      <c r="G1230" s="359"/>
      <c r="H1230" s="359">
        <v>0</v>
      </c>
    </row>
    <row r="1231" spans="1:9" ht="24">
      <c r="A1231" s="402" t="s">
        <v>1967</v>
      </c>
      <c r="B1231" s="799">
        <v>400200000000000</v>
      </c>
      <c r="C1231" s="320" t="s">
        <v>1205</v>
      </c>
      <c r="D1231" s="329"/>
      <c r="E1231" s="335">
        <f t="shared" si="20"/>
        <v>182122.06</v>
      </c>
      <c r="F1231" s="354">
        <v>182122.06</v>
      </c>
      <c r="G1231" s="354"/>
      <c r="H1231" s="335">
        <v>234200.67</v>
      </c>
      <c r="I1231" s="217"/>
    </row>
    <row r="1232" spans="1:9" ht="25.5">
      <c r="A1232" s="401" t="s">
        <v>1965</v>
      </c>
      <c r="B1232" s="800" t="s">
        <v>1208</v>
      </c>
      <c r="C1232" s="317" t="s">
        <v>1806</v>
      </c>
      <c r="D1232" s="328"/>
      <c r="E1232" s="359"/>
      <c r="F1232" s="359"/>
      <c r="G1232" s="359"/>
      <c r="H1232" s="359">
        <v>0</v>
      </c>
    </row>
    <row r="1233" spans="1:9">
      <c r="A1233" s="402" t="s">
        <v>1967</v>
      </c>
      <c r="B1233" s="799">
        <v>400300000000000</v>
      </c>
      <c r="C1233" s="320" t="s">
        <v>1207</v>
      </c>
      <c r="D1233" s="329"/>
      <c r="E1233" s="335">
        <f t="shared" si="20"/>
        <v>0</v>
      </c>
      <c r="F1233" s="354"/>
      <c r="G1233" s="354"/>
      <c r="H1233" s="335">
        <v>0</v>
      </c>
      <c r="I1233" s="217"/>
    </row>
    <row r="1234" spans="1:9">
      <c r="A1234" s="401" t="s">
        <v>1965</v>
      </c>
      <c r="B1234" s="800" t="s">
        <v>1210</v>
      </c>
      <c r="C1234" s="317" t="s">
        <v>1807</v>
      </c>
      <c r="D1234" s="328"/>
      <c r="E1234" s="359"/>
      <c r="F1234" s="359"/>
      <c r="G1234" s="359"/>
      <c r="H1234" s="359">
        <v>0</v>
      </c>
    </row>
    <row r="1235" spans="1:9">
      <c r="A1235" s="402" t="s">
        <v>1967</v>
      </c>
      <c r="B1235" s="799">
        <v>400400000000000</v>
      </c>
      <c r="C1235" s="320" t="s">
        <v>1209</v>
      </c>
      <c r="D1235" s="329"/>
      <c r="E1235" s="335">
        <f t="shared" si="20"/>
        <v>0</v>
      </c>
      <c r="F1235" s="354"/>
      <c r="G1235" s="354"/>
      <c r="H1235" s="335">
        <v>0</v>
      </c>
      <c r="I1235" s="217"/>
    </row>
    <row r="1236" spans="1:9">
      <c r="A1236" s="401" t="s">
        <v>1963</v>
      </c>
      <c r="B1236" s="800" t="s">
        <v>1211</v>
      </c>
      <c r="C1236" s="317" t="s">
        <v>1808</v>
      </c>
      <c r="D1236" s="328"/>
      <c r="E1236" s="359"/>
      <c r="F1236" s="359"/>
      <c r="G1236" s="359"/>
      <c r="H1236" s="359">
        <v>0</v>
      </c>
    </row>
    <row r="1237" spans="1:9">
      <c r="A1237" s="401" t="s">
        <v>1965</v>
      </c>
      <c r="B1237" s="800" t="s">
        <v>1213</v>
      </c>
      <c r="C1237" s="317" t="s">
        <v>1809</v>
      </c>
      <c r="D1237" s="328"/>
      <c r="E1237" s="359"/>
      <c r="F1237" s="359"/>
      <c r="G1237" s="359"/>
      <c r="H1237" s="359">
        <v>0</v>
      </c>
    </row>
    <row r="1238" spans="1:9">
      <c r="A1238" s="402" t="s">
        <v>1967</v>
      </c>
      <c r="B1238" s="799">
        <v>405100000000000</v>
      </c>
      <c r="C1238" s="320" t="s">
        <v>1212</v>
      </c>
      <c r="D1238" s="329"/>
      <c r="E1238" s="335">
        <f t="shared" si="20"/>
        <v>0</v>
      </c>
      <c r="F1238" s="354"/>
      <c r="G1238" s="354"/>
      <c r="H1238" s="335">
        <v>0</v>
      </c>
      <c r="I1238" s="217"/>
    </row>
    <row r="1239" spans="1:9">
      <c r="A1239" s="401" t="s">
        <v>1965</v>
      </c>
      <c r="B1239" s="800" t="s">
        <v>1215</v>
      </c>
      <c r="C1239" s="317" t="s">
        <v>1810</v>
      </c>
      <c r="D1239" s="328"/>
      <c r="E1239" s="359"/>
      <c r="F1239" s="359"/>
      <c r="G1239" s="359"/>
      <c r="H1239" s="359">
        <v>0</v>
      </c>
    </row>
    <row r="1240" spans="1:9">
      <c r="A1240" s="402" t="s">
        <v>1967</v>
      </c>
      <c r="B1240" s="799">
        <v>405200000000000</v>
      </c>
      <c r="C1240" s="320" t="s">
        <v>1214</v>
      </c>
      <c r="D1240" s="329"/>
      <c r="E1240" s="335">
        <f t="shared" si="20"/>
        <v>166456.93</v>
      </c>
      <c r="F1240" s="354">
        <v>166456.93</v>
      </c>
      <c r="G1240" s="354"/>
      <c r="H1240" s="335">
        <v>166456.83359999271</v>
      </c>
      <c r="I1240" s="217"/>
    </row>
    <row r="1241" spans="1:9" ht="25.5">
      <c r="A1241" s="401" t="s">
        <v>1963</v>
      </c>
      <c r="B1241" s="800" t="s">
        <v>1217</v>
      </c>
      <c r="C1241" s="317" t="s">
        <v>1811</v>
      </c>
      <c r="D1241" s="328"/>
      <c r="E1241" s="359"/>
      <c r="F1241" s="359"/>
      <c r="G1241" s="359"/>
      <c r="H1241" s="359">
        <v>0</v>
      </c>
    </row>
    <row r="1242" spans="1:9" ht="24.75" thickBot="1">
      <c r="A1242" s="405" t="s">
        <v>1965</v>
      </c>
      <c r="B1242" s="803">
        <v>410000000000000</v>
      </c>
      <c r="C1242" s="385" t="s">
        <v>1216</v>
      </c>
      <c r="D1242" s="406"/>
      <c r="E1242" s="407">
        <f t="shared" si="20"/>
        <v>0</v>
      </c>
      <c r="F1242" s="408"/>
      <c r="G1242" s="408"/>
      <c r="H1242" s="407">
        <v>0</v>
      </c>
      <c r="I1242" s="217"/>
    </row>
    <row r="1243" spans="1:9" s="338" customFormat="1" ht="13.5" thickBot="1">
      <c r="A1243" s="409"/>
      <c r="B1243" s="410"/>
      <c r="C1243" s="411" t="s">
        <v>2594</v>
      </c>
      <c r="D1243" s="412"/>
      <c r="E1243" s="413">
        <f t="shared" ref="E1243:H1243" si="21">SUM(E7:E1242)</f>
        <v>580518000.52999997</v>
      </c>
      <c r="F1243" s="413">
        <f t="shared" si="21"/>
        <v>580518000.52999997</v>
      </c>
      <c r="G1243" s="413">
        <f t="shared" si="21"/>
        <v>0</v>
      </c>
      <c r="H1243" s="413">
        <f t="shared" si="21"/>
        <v>510381872.98360014</v>
      </c>
    </row>
  </sheetData>
  <autoFilter ref="A1:I1243"/>
  <conditionalFormatting sqref="B604">
    <cfRule type="duplicateValues" dxfId="224" priority="1"/>
  </conditionalFormatting>
  <conditionalFormatting sqref="B668">
    <cfRule type="duplicateValues" dxfId="223" priority="42"/>
  </conditionalFormatting>
  <conditionalFormatting sqref="B669:B670">
    <cfRule type="duplicateValues" dxfId="222" priority="40"/>
  </conditionalFormatting>
  <conditionalFormatting sqref="B672:B674">
    <cfRule type="duplicateValues" dxfId="221" priority="41"/>
  </conditionalFormatting>
  <conditionalFormatting sqref="B675:B678 B689:B692 B666 B680">
    <cfRule type="duplicateValues" dxfId="220" priority="46"/>
  </conditionalFormatting>
  <conditionalFormatting sqref="B682">
    <cfRule type="duplicateValues" dxfId="219" priority="45"/>
  </conditionalFormatting>
  <conditionalFormatting sqref="B683:B684">
    <cfRule type="duplicateValues" dxfId="218" priority="43"/>
  </conditionalFormatting>
  <conditionalFormatting sqref="B686:B688">
    <cfRule type="duplicateValues" dxfId="217" priority="44"/>
  </conditionalFormatting>
  <conditionalFormatting sqref="B689:B692 B666 B675:B678 B680">
    <cfRule type="duplicateValues" dxfId="216" priority="47"/>
  </conditionalFormatting>
  <conditionalFormatting sqref="B697:B699">
    <cfRule type="duplicateValues" dxfId="215" priority="224"/>
  </conditionalFormatting>
  <conditionalFormatting sqref="B701:B703">
    <cfRule type="duplicateValues" dxfId="214" priority="225"/>
  </conditionalFormatting>
  <conditionalFormatting sqref="B704:B707 B718:B721 B732:B735 B709 B723">
    <cfRule type="duplicateValues" dxfId="213" priority="232"/>
  </conditionalFormatting>
  <conditionalFormatting sqref="B711">
    <cfRule type="duplicateValues" dxfId="212" priority="228"/>
  </conditionalFormatting>
  <conditionalFormatting sqref="B712:B713">
    <cfRule type="duplicateValues" dxfId="211" priority="226"/>
  </conditionalFormatting>
  <conditionalFormatting sqref="B715:B717">
    <cfRule type="duplicateValues" dxfId="210" priority="227"/>
  </conditionalFormatting>
  <conditionalFormatting sqref="B725">
    <cfRule type="duplicateValues" dxfId="209" priority="231"/>
  </conditionalFormatting>
  <conditionalFormatting sqref="B726:B727">
    <cfRule type="duplicateValues" dxfId="208" priority="229"/>
  </conditionalFormatting>
  <conditionalFormatting sqref="B729:B731">
    <cfRule type="duplicateValues" dxfId="207" priority="230"/>
  </conditionalFormatting>
  <conditionalFormatting sqref="B732:B735 B709 B718:B721 B723">
    <cfRule type="duplicateValues" dxfId="206" priority="233"/>
  </conditionalFormatting>
  <conditionalFormatting sqref="B764">
    <cfRule type="duplicateValues" dxfId="205" priority="189"/>
  </conditionalFormatting>
  <conditionalFormatting sqref="B765:B766">
    <cfRule type="duplicateValues" dxfId="204" priority="187"/>
  </conditionalFormatting>
  <conditionalFormatting sqref="B768:B770">
    <cfRule type="duplicateValues" dxfId="203" priority="188"/>
  </conditionalFormatting>
  <conditionalFormatting sqref="B771:B774">
    <cfRule type="duplicateValues" dxfId="202" priority="186"/>
  </conditionalFormatting>
  <conditionalFormatting sqref="B778">
    <cfRule type="duplicateValues" dxfId="201" priority="176"/>
  </conditionalFormatting>
  <conditionalFormatting sqref="B779:B780">
    <cfRule type="duplicateValues" dxfId="200" priority="174"/>
  </conditionalFormatting>
  <conditionalFormatting sqref="B782:B784">
    <cfRule type="duplicateValues" dxfId="199" priority="175"/>
  </conditionalFormatting>
  <conditionalFormatting sqref="B785:B788">
    <cfRule type="duplicateValues" dxfId="198" priority="173"/>
  </conditionalFormatting>
  <conditionalFormatting sqref="B794">
    <cfRule type="duplicateValues" dxfId="197" priority="11"/>
  </conditionalFormatting>
  <conditionalFormatting sqref="B803">
    <cfRule type="duplicateValues" dxfId="196" priority="8"/>
  </conditionalFormatting>
  <conditionalFormatting sqref="B804:B811">
    <cfRule type="duplicateValues" dxfId="195" priority="10"/>
  </conditionalFormatting>
  <conditionalFormatting sqref="B813">
    <cfRule type="duplicateValues" dxfId="194" priority="6"/>
  </conditionalFormatting>
  <conditionalFormatting sqref="B822">
    <cfRule type="duplicateValues" dxfId="193" priority="2"/>
  </conditionalFormatting>
  <conditionalFormatting sqref="B823:B830">
    <cfRule type="duplicateValues" dxfId="192" priority="4"/>
  </conditionalFormatting>
  <conditionalFormatting sqref="B836">
    <cfRule type="duplicateValues" dxfId="191" priority="140"/>
  </conditionalFormatting>
  <conditionalFormatting sqref="B838">
    <cfRule type="duplicateValues" dxfId="190" priority="138"/>
  </conditionalFormatting>
  <conditionalFormatting sqref="B839">
    <cfRule type="duplicateValues" dxfId="189" priority="158"/>
  </conditionalFormatting>
  <conditionalFormatting sqref="B840:B841">
    <cfRule type="duplicateValues" dxfId="188" priority="156"/>
  </conditionalFormatting>
  <conditionalFormatting sqref="B842">
    <cfRule type="duplicateValues" dxfId="187" priority="136"/>
  </conditionalFormatting>
  <conditionalFormatting sqref="B843:B845">
    <cfRule type="duplicateValues" dxfId="186" priority="157"/>
  </conditionalFormatting>
  <conditionalFormatting sqref="B846:B849">
    <cfRule type="duplicateValues" dxfId="185" priority="155"/>
  </conditionalFormatting>
  <conditionalFormatting sqref="B850">
    <cfRule type="duplicateValues" dxfId="184" priority="134"/>
  </conditionalFormatting>
  <conditionalFormatting sqref="B852">
    <cfRule type="duplicateValues" dxfId="183" priority="132"/>
  </conditionalFormatting>
  <conditionalFormatting sqref="B853">
    <cfRule type="duplicateValues" dxfId="182" priority="161"/>
  </conditionalFormatting>
  <conditionalFormatting sqref="B854:B855">
    <cfRule type="duplicateValues" dxfId="181" priority="159"/>
  </conditionalFormatting>
  <conditionalFormatting sqref="B856">
    <cfRule type="duplicateValues" dxfId="180" priority="130"/>
  </conditionalFormatting>
  <conditionalFormatting sqref="B857:B859">
    <cfRule type="duplicateValues" dxfId="179" priority="160"/>
  </conditionalFormatting>
  <conditionalFormatting sqref="B860:B863 B851">
    <cfRule type="duplicateValues" dxfId="178" priority="162"/>
  </conditionalFormatting>
  <conditionalFormatting sqref="B865">
    <cfRule type="duplicateValues" dxfId="177" priority="128"/>
  </conditionalFormatting>
  <conditionalFormatting sqref="B867">
    <cfRule type="duplicateValues" dxfId="176" priority="104"/>
  </conditionalFormatting>
  <conditionalFormatting sqref="B868">
    <cfRule type="duplicateValues" dxfId="175" priority="122"/>
  </conditionalFormatting>
  <conditionalFormatting sqref="B869:B870">
    <cfRule type="duplicateValues" dxfId="174" priority="120"/>
  </conditionalFormatting>
  <conditionalFormatting sqref="B871">
    <cfRule type="duplicateValues" dxfId="173" priority="102"/>
  </conditionalFormatting>
  <conditionalFormatting sqref="B872:B874">
    <cfRule type="duplicateValues" dxfId="172" priority="121"/>
  </conditionalFormatting>
  <conditionalFormatting sqref="B875:B878">
    <cfRule type="duplicateValues" dxfId="171" priority="119"/>
  </conditionalFormatting>
  <conditionalFormatting sqref="B879">
    <cfRule type="duplicateValues" dxfId="170" priority="100"/>
  </conditionalFormatting>
  <conditionalFormatting sqref="B881">
    <cfRule type="duplicateValues" dxfId="169" priority="98"/>
  </conditionalFormatting>
  <conditionalFormatting sqref="B882">
    <cfRule type="duplicateValues" dxfId="168" priority="125"/>
  </conditionalFormatting>
  <conditionalFormatting sqref="B883:B884">
    <cfRule type="duplicateValues" dxfId="167" priority="123"/>
  </conditionalFormatting>
  <conditionalFormatting sqref="B885">
    <cfRule type="duplicateValues" dxfId="166" priority="96"/>
  </conditionalFormatting>
  <conditionalFormatting sqref="B886:B888">
    <cfRule type="duplicateValues" dxfId="165" priority="124"/>
  </conditionalFormatting>
  <conditionalFormatting sqref="B889:B892 B880">
    <cfRule type="duplicateValues" dxfId="164" priority="126"/>
  </conditionalFormatting>
  <conditionalFormatting sqref="B900:B906">
    <cfRule type="duplicateValues" dxfId="163" priority="94"/>
  </conditionalFormatting>
  <conditionalFormatting sqref="B909:B915">
    <cfRule type="duplicateValues" dxfId="162" priority="92"/>
  </conditionalFormatting>
  <conditionalFormatting sqref="B921">
    <cfRule type="duplicateValues" dxfId="161" priority="79"/>
  </conditionalFormatting>
  <conditionalFormatting sqref="B922">
    <cfRule type="duplicateValues" dxfId="160" priority="90"/>
  </conditionalFormatting>
  <conditionalFormatting sqref="B923:B924">
    <cfRule type="duplicateValues" dxfId="159" priority="88"/>
  </conditionalFormatting>
  <conditionalFormatting sqref="B925">
    <cfRule type="duplicateValues" dxfId="158" priority="77"/>
  </conditionalFormatting>
  <conditionalFormatting sqref="B926:B928">
    <cfRule type="duplicateValues" dxfId="157" priority="89"/>
  </conditionalFormatting>
  <conditionalFormatting sqref="B929:B932">
    <cfRule type="duplicateValues" dxfId="156" priority="87"/>
  </conditionalFormatting>
  <conditionalFormatting sqref="B935">
    <cfRule type="duplicateValues" dxfId="155" priority="64"/>
  </conditionalFormatting>
  <conditionalFormatting sqref="B936">
    <cfRule type="duplicateValues" dxfId="154" priority="75"/>
  </conditionalFormatting>
  <conditionalFormatting sqref="B937:B938">
    <cfRule type="duplicateValues" dxfId="153" priority="73"/>
  </conditionalFormatting>
  <conditionalFormatting sqref="B939">
    <cfRule type="duplicateValues" dxfId="152" priority="62"/>
  </conditionalFormatting>
  <conditionalFormatting sqref="B940:B942">
    <cfRule type="duplicateValues" dxfId="151" priority="74"/>
  </conditionalFormatting>
  <conditionalFormatting sqref="B943:B946">
    <cfRule type="duplicateValues" dxfId="150" priority="72"/>
  </conditionalFormatting>
  <conditionalFormatting sqref="B1152">
    <cfRule type="duplicateValues" dxfId="149" priority="53"/>
  </conditionalFormatting>
  <conditionalFormatting sqref="B1166">
    <cfRule type="duplicateValues" dxfId="148" priority="51"/>
  </conditionalFormatting>
  <conditionalFormatting sqref="B1170:B1242 B2:B603 B1153:B1165 B1244:B1048576 B693:B793 B795:B802 B812 B814:B821 B831:B1151 B605:B650">
    <cfRule type="duplicateValues" dxfId="147" priority="55"/>
  </conditionalFormatting>
  <conditionalFormatting sqref="B1243">
    <cfRule type="duplicateValues" dxfId="146" priority="49"/>
  </conditionalFormatting>
  <conditionalFormatting sqref="C668">
    <cfRule type="duplicateValues" dxfId="145" priority="357"/>
  </conditionalFormatting>
  <conditionalFormatting sqref="C669">
    <cfRule type="duplicateValues" dxfId="144" priority="352"/>
  </conditionalFormatting>
  <conditionalFormatting sqref="C670">
    <cfRule type="duplicateValues" dxfId="143" priority="353"/>
  </conditionalFormatting>
  <conditionalFormatting sqref="C672">
    <cfRule type="duplicateValues" dxfId="142" priority="354"/>
  </conditionalFormatting>
  <conditionalFormatting sqref="C673">
    <cfRule type="duplicateValues" dxfId="141" priority="355"/>
  </conditionalFormatting>
  <conditionalFormatting sqref="C674">
    <cfRule type="duplicateValues" dxfId="140" priority="356"/>
  </conditionalFormatting>
  <conditionalFormatting sqref="C675:C678 C666">
    <cfRule type="duplicateValues" dxfId="139" priority="358"/>
  </conditionalFormatting>
  <conditionalFormatting sqref="C682">
    <cfRule type="duplicateValues" dxfId="138" priority="365"/>
  </conditionalFormatting>
  <conditionalFormatting sqref="C683">
    <cfRule type="duplicateValues" dxfId="137" priority="360"/>
  </conditionalFormatting>
  <conditionalFormatting sqref="C684">
    <cfRule type="duplicateValues" dxfId="136" priority="361"/>
  </conditionalFormatting>
  <conditionalFormatting sqref="C686">
    <cfRule type="duplicateValues" dxfId="135" priority="362"/>
  </conditionalFormatting>
  <conditionalFormatting sqref="C687">
    <cfRule type="duplicateValues" dxfId="134" priority="363"/>
  </conditionalFormatting>
  <conditionalFormatting sqref="C688">
    <cfRule type="duplicateValues" dxfId="133" priority="364"/>
  </conditionalFormatting>
  <conditionalFormatting sqref="C689:C692 C666 C675:C678 C680">
    <cfRule type="duplicateValues" dxfId="132" priority="368"/>
  </conditionalFormatting>
  <conditionalFormatting sqref="C689:C692 C680">
    <cfRule type="duplicateValues" dxfId="131" priority="366"/>
  </conditionalFormatting>
  <conditionalFormatting sqref="C696">
    <cfRule type="duplicateValues" dxfId="130" priority="235"/>
  </conditionalFormatting>
  <conditionalFormatting sqref="C697">
    <cfRule type="duplicateValues" dxfId="129" priority="236"/>
  </conditionalFormatting>
  <conditionalFormatting sqref="C698">
    <cfRule type="duplicateValues" dxfId="128" priority="237"/>
  </conditionalFormatting>
  <conditionalFormatting sqref="C699">
    <cfRule type="duplicateValues" dxfId="127" priority="238"/>
  </conditionalFormatting>
  <conditionalFormatting sqref="C700">
    <cfRule type="duplicateValues" dxfId="126" priority="263"/>
  </conditionalFormatting>
  <conditionalFormatting sqref="C701">
    <cfRule type="duplicateValues" dxfId="125" priority="239"/>
  </conditionalFormatting>
  <conditionalFormatting sqref="C702">
    <cfRule type="duplicateValues" dxfId="124" priority="240"/>
  </conditionalFormatting>
  <conditionalFormatting sqref="C703">
    <cfRule type="duplicateValues" dxfId="123" priority="241"/>
  </conditionalFormatting>
  <conditionalFormatting sqref="C704:C707">
    <cfRule type="duplicateValues" dxfId="122" priority="234"/>
  </conditionalFormatting>
  <conditionalFormatting sqref="C708">
    <cfRule type="duplicateValues" dxfId="121" priority="264"/>
  </conditionalFormatting>
  <conditionalFormatting sqref="C710">
    <cfRule type="duplicateValues" dxfId="120" priority="242"/>
  </conditionalFormatting>
  <conditionalFormatting sqref="C711">
    <cfRule type="duplicateValues" dxfId="119" priority="248"/>
  </conditionalFormatting>
  <conditionalFormatting sqref="C712">
    <cfRule type="duplicateValues" dxfId="118" priority="243"/>
  </conditionalFormatting>
  <conditionalFormatting sqref="C713">
    <cfRule type="duplicateValues" dxfId="117" priority="244"/>
  </conditionalFormatting>
  <conditionalFormatting sqref="C714">
    <cfRule type="duplicateValues" dxfId="116" priority="265"/>
  </conditionalFormatting>
  <conditionalFormatting sqref="C715">
    <cfRule type="duplicateValues" dxfId="115" priority="245"/>
  </conditionalFormatting>
  <conditionalFormatting sqref="C716">
    <cfRule type="duplicateValues" dxfId="114" priority="246"/>
  </conditionalFormatting>
  <conditionalFormatting sqref="C717">
    <cfRule type="duplicateValues" dxfId="113" priority="247"/>
  </conditionalFormatting>
  <conditionalFormatting sqref="C718:C721 C709">
    <cfRule type="duplicateValues" dxfId="112" priority="249"/>
  </conditionalFormatting>
  <conditionalFormatting sqref="C722">
    <cfRule type="duplicateValues" dxfId="111" priority="266"/>
  </conditionalFormatting>
  <conditionalFormatting sqref="C724">
    <cfRule type="duplicateValues" dxfId="110" priority="267"/>
  </conditionalFormatting>
  <conditionalFormatting sqref="C725">
    <cfRule type="duplicateValues" dxfId="109" priority="256"/>
  </conditionalFormatting>
  <conditionalFormatting sqref="C726">
    <cfRule type="duplicateValues" dxfId="108" priority="251"/>
  </conditionalFormatting>
  <conditionalFormatting sqref="C727">
    <cfRule type="duplicateValues" dxfId="107" priority="252"/>
  </conditionalFormatting>
  <conditionalFormatting sqref="C728">
    <cfRule type="duplicateValues" dxfId="106" priority="268"/>
  </conditionalFormatting>
  <conditionalFormatting sqref="C729">
    <cfRule type="duplicateValues" dxfId="105" priority="253"/>
  </conditionalFormatting>
  <conditionalFormatting sqref="C730">
    <cfRule type="duplicateValues" dxfId="104" priority="254"/>
  </conditionalFormatting>
  <conditionalFormatting sqref="C731">
    <cfRule type="duplicateValues" dxfId="103" priority="255"/>
  </conditionalFormatting>
  <conditionalFormatting sqref="C732:C735 C709 C718:C721 C723">
    <cfRule type="duplicateValues" dxfId="102" priority="259"/>
  </conditionalFormatting>
  <conditionalFormatting sqref="C732:C735 C723">
    <cfRule type="duplicateValues" dxfId="101" priority="257"/>
  </conditionalFormatting>
  <conditionalFormatting sqref="C763">
    <cfRule type="duplicateValues" dxfId="100" priority="276"/>
  </conditionalFormatting>
  <conditionalFormatting sqref="C764">
    <cfRule type="duplicateValues" dxfId="99" priority="275"/>
  </conditionalFormatting>
  <conditionalFormatting sqref="C765">
    <cfRule type="duplicateValues" dxfId="98" priority="270"/>
  </conditionalFormatting>
  <conditionalFormatting sqref="C766">
    <cfRule type="duplicateValues" dxfId="97" priority="271"/>
  </conditionalFormatting>
  <conditionalFormatting sqref="C767">
    <cfRule type="duplicateValues" dxfId="96" priority="277"/>
  </conditionalFormatting>
  <conditionalFormatting sqref="C768">
    <cfRule type="duplicateValues" dxfId="95" priority="272"/>
  </conditionalFormatting>
  <conditionalFormatting sqref="C769">
    <cfRule type="duplicateValues" dxfId="94" priority="273"/>
  </conditionalFormatting>
  <conditionalFormatting sqref="C770">
    <cfRule type="duplicateValues" dxfId="93" priority="274"/>
  </conditionalFormatting>
  <conditionalFormatting sqref="C771:C774">
    <cfRule type="duplicateValues" dxfId="92" priority="269"/>
  </conditionalFormatting>
  <conditionalFormatting sqref="C777">
    <cfRule type="duplicateValues" dxfId="91" priority="285"/>
  </conditionalFormatting>
  <conditionalFormatting sqref="C778">
    <cfRule type="duplicateValues" dxfId="90" priority="284"/>
  </conditionalFormatting>
  <conditionalFormatting sqref="C779">
    <cfRule type="duplicateValues" dxfId="89" priority="279"/>
  </conditionalFormatting>
  <conditionalFormatting sqref="C780">
    <cfRule type="duplicateValues" dxfId="88" priority="280"/>
  </conditionalFormatting>
  <conditionalFormatting sqref="C781">
    <cfRule type="duplicateValues" dxfId="87" priority="286"/>
  </conditionalFormatting>
  <conditionalFormatting sqref="C782">
    <cfRule type="duplicateValues" dxfId="86" priority="281"/>
  </conditionalFormatting>
  <conditionalFormatting sqref="C783">
    <cfRule type="duplicateValues" dxfId="85" priority="282"/>
  </conditionalFormatting>
  <conditionalFormatting sqref="C784">
    <cfRule type="duplicateValues" dxfId="84" priority="283"/>
  </conditionalFormatting>
  <conditionalFormatting sqref="C785:C788">
    <cfRule type="duplicateValues" dxfId="83" priority="278"/>
  </conditionalFormatting>
  <conditionalFormatting sqref="C794">
    <cfRule type="duplicateValues" dxfId="82" priority="372"/>
  </conditionalFormatting>
  <conditionalFormatting sqref="C803">
    <cfRule type="duplicateValues" dxfId="81" priority="373"/>
  </conditionalFormatting>
  <conditionalFormatting sqref="C813">
    <cfRule type="duplicateValues" dxfId="80" priority="374"/>
  </conditionalFormatting>
  <conditionalFormatting sqref="C815:C821">
    <cfRule type="duplicateValues" dxfId="79" priority="287"/>
  </conditionalFormatting>
  <conditionalFormatting sqref="C822">
    <cfRule type="duplicateValues" dxfId="78" priority="376"/>
  </conditionalFormatting>
  <conditionalFormatting sqref="C824:C830">
    <cfRule type="duplicateValues" dxfId="77" priority="375"/>
  </conditionalFormatting>
  <conditionalFormatting sqref="C836">
    <cfRule type="duplicateValues" dxfId="76" priority="303"/>
  </conditionalFormatting>
  <conditionalFormatting sqref="C838">
    <cfRule type="duplicateValues" dxfId="75" priority="304"/>
  </conditionalFormatting>
  <conditionalFormatting sqref="C839">
    <cfRule type="duplicateValues" dxfId="74" priority="294"/>
  </conditionalFormatting>
  <conditionalFormatting sqref="C840">
    <cfRule type="duplicateValues" dxfId="73" priority="289"/>
  </conditionalFormatting>
  <conditionalFormatting sqref="C841">
    <cfRule type="duplicateValues" dxfId="72" priority="290"/>
  </conditionalFormatting>
  <conditionalFormatting sqref="C842">
    <cfRule type="duplicateValues" dxfId="71" priority="305"/>
  </conditionalFormatting>
  <conditionalFormatting sqref="C843">
    <cfRule type="duplicateValues" dxfId="70" priority="291"/>
  </conditionalFormatting>
  <conditionalFormatting sqref="C844">
    <cfRule type="duplicateValues" dxfId="69" priority="292"/>
  </conditionalFormatting>
  <conditionalFormatting sqref="C845">
    <cfRule type="duplicateValues" dxfId="68" priority="293"/>
  </conditionalFormatting>
  <conditionalFormatting sqref="C846:C849">
    <cfRule type="duplicateValues" dxfId="67" priority="288"/>
  </conditionalFormatting>
  <conditionalFormatting sqref="C850">
    <cfRule type="duplicateValues" dxfId="66" priority="306"/>
  </conditionalFormatting>
  <conditionalFormatting sqref="C852">
    <cfRule type="duplicateValues" dxfId="65" priority="307"/>
  </conditionalFormatting>
  <conditionalFormatting sqref="C853">
    <cfRule type="duplicateValues" dxfId="64" priority="300"/>
  </conditionalFormatting>
  <conditionalFormatting sqref="C854">
    <cfRule type="duplicateValues" dxfId="63" priority="295"/>
  </conditionalFormatting>
  <conditionalFormatting sqref="C855">
    <cfRule type="duplicateValues" dxfId="62" priority="296"/>
  </conditionalFormatting>
  <conditionalFormatting sqref="C856">
    <cfRule type="duplicateValues" dxfId="61" priority="308"/>
  </conditionalFormatting>
  <conditionalFormatting sqref="C857">
    <cfRule type="duplicateValues" dxfId="60" priority="297"/>
  </conditionalFormatting>
  <conditionalFormatting sqref="C858">
    <cfRule type="duplicateValues" dxfId="59" priority="298"/>
  </conditionalFormatting>
  <conditionalFormatting sqref="C859">
    <cfRule type="duplicateValues" dxfId="58" priority="299"/>
  </conditionalFormatting>
  <conditionalFormatting sqref="C860:C863 C851">
    <cfRule type="duplicateValues" dxfId="57" priority="301"/>
  </conditionalFormatting>
  <conditionalFormatting sqref="C865">
    <cfRule type="duplicateValues" dxfId="56" priority="309"/>
  </conditionalFormatting>
  <conditionalFormatting sqref="C867">
    <cfRule type="duplicateValues" dxfId="55" priority="326"/>
  </conditionalFormatting>
  <conditionalFormatting sqref="C868">
    <cfRule type="duplicateValues" dxfId="54" priority="316"/>
  </conditionalFormatting>
  <conditionalFormatting sqref="C869">
    <cfRule type="duplicateValues" dxfId="53" priority="311"/>
  </conditionalFormatting>
  <conditionalFormatting sqref="C870">
    <cfRule type="duplicateValues" dxfId="52" priority="312"/>
  </conditionalFormatting>
  <conditionalFormatting sqref="C871">
    <cfRule type="duplicateValues" dxfId="51" priority="327"/>
  </conditionalFormatting>
  <conditionalFormatting sqref="C872">
    <cfRule type="duplicateValues" dxfId="50" priority="313"/>
  </conditionalFormatting>
  <conditionalFormatting sqref="C873">
    <cfRule type="duplicateValues" dxfId="49" priority="314"/>
  </conditionalFormatting>
  <conditionalFormatting sqref="C874">
    <cfRule type="duplicateValues" dxfId="48" priority="315"/>
  </conditionalFormatting>
  <conditionalFormatting sqref="C875:C878">
    <cfRule type="duplicateValues" dxfId="47" priority="310"/>
  </conditionalFormatting>
  <conditionalFormatting sqref="C879">
    <cfRule type="duplicateValues" dxfId="46" priority="323"/>
  </conditionalFormatting>
  <conditionalFormatting sqref="C881">
    <cfRule type="duplicateValues" dxfId="45" priority="328"/>
  </conditionalFormatting>
  <conditionalFormatting sqref="C882">
    <cfRule type="duplicateValues" dxfId="44" priority="322"/>
  </conditionalFormatting>
  <conditionalFormatting sqref="C883">
    <cfRule type="duplicateValues" dxfId="43" priority="317"/>
  </conditionalFormatting>
  <conditionalFormatting sqref="C884">
    <cfRule type="duplicateValues" dxfId="42" priority="318"/>
  </conditionalFormatting>
  <conditionalFormatting sqref="C885">
    <cfRule type="duplicateValues" dxfId="41" priority="329"/>
  </conditionalFormatting>
  <conditionalFormatting sqref="C886">
    <cfRule type="duplicateValues" dxfId="40" priority="319"/>
  </conditionalFormatting>
  <conditionalFormatting sqref="C887">
    <cfRule type="duplicateValues" dxfId="39" priority="320"/>
  </conditionalFormatting>
  <conditionalFormatting sqref="C888">
    <cfRule type="duplicateValues" dxfId="38" priority="321"/>
  </conditionalFormatting>
  <conditionalFormatting sqref="C889:C892 C880">
    <cfRule type="duplicateValues" dxfId="37" priority="324"/>
  </conditionalFormatting>
  <conditionalFormatting sqref="C900:C906">
    <cfRule type="duplicateValues" dxfId="36" priority="330"/>
  </conditionalFormatting>
  <conditionalFormatting sqref="C909:C915">
    <cfRule type="duplicateValues" dxfId="35" priority="331"/>
  </conditionalFormatting>
  <conditionalFormatting sqref="C921">
    <cfRule type="duplicateValues" dxfId="34" priority="339"/>
  </conditionalFormatting>
  <conditionalFormatting sqref="C922">
    <cfRule type="duplicateValues" dxfId="33" priority="338"/>
  </conditionalFormatting>
  <conditionalFormatting sqref="C923">
    <cfRule type="duplicateValues" dxfId="32" priority="333"/>
  </conditionalFormatting>
  <conditionalFormatting sqref="C924">
    <cfRule type="duplicateValues" dxfId="31" priority="334"/>
  </conditionalFormatting>
  <conditionalFormatting sqref="C925">
    <cfRule type="duplicateValues" dxfId="30" priority="340"/>
  </conditionalFormatting>
  <conditionalFormatting sqref="C926">
    <cfRule type="duplicateValues" dxfId="29" priority="335"/>
  </conditionalFormatting>
  <conditionalFormatting sqref="C927">
    <cfRule type="duplicateValues" dxfId="28" priority="336"/>
  </conditionalFormatting>
  <conditionalFormatting sqref="C928">
    <cfRule type="duplicateValues" dxfId="27" priority="337"/>
  </conditionalFormatting>
  <conditionalFormatting sqref="C929:C932">
    <cfRule type="duplicateValues" dxfId="26" priority="332"/>
  </conditionalFormatting>
  <conditionalFormatting sqref="C935">
    <cfRule type="duplicateValues" dxfId="25" priority="348"/>
  </conditionalFormatting>
  <conditionalFormatting sqref="C936">
    <cfRule type="duplicateValues" dxfId="24" priority="347"/>
  </conditionalFormatting>
  <conditionalFormatting sqref="C937">
    <cfRule type="duplicateValues" dxfId="23" priority="342"/>
  </conditionalFormatting>
  <conditionalFormatting sqref="C938">
    <cfRule type="duplicateValues" dxfId="22" priority="343"/>
  </conditionalFormatting>
  <conditionalFormatting sqref="C939">
    <cfRule type="duplicateValues" dxfId="21" priority="349"/>
  </conditionalFormatting>
  <conditionalFormatting sqref="C940">
    <cfRule type="duplicateValues" dxfId="20" priority="344"/>
  </conditionalFormatting>
  <conditionalFormatting sqref="C941">
    <cfRule type="duplicateValues" dxfId="19" priority="345"/>
  </conditionalFormatting>
  <conditionalFormatting sqref="C942">
    <cfRule type="duplicateValues" dxfId="18" priority="346"/>
  </conditionalFormatting>
  <conditionalFormatting sqref="C943:C946">
    <cfRule type="duplicateValues" dxfId="17" priority="341"/>
  </conditionalFormatting>
  <conditionalFormatting sqref="C1152">
    <cfRule type="duplicateValues" dxfId="16" priority="350"/>
  </conditionalFormatting>
  <conditionalFormatting sqref="C1166">
    <cfRule type="duplicateValues" dxfId="15" priority="351"/>
  </conditionalFormatting>
  <printOptions horizontalCentered="1"/>
  <pageMargins left="0" right="0" top="0.19685039370078741" bottom="0.19685039370078741" header="0.31496062992125984" footer="0.31496062992125984"/>
  <pageSetup paperSize="9" scale="85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571"/>
  <sheetViews>
    <sheetView zoomScale="90" zoomScaleNormal="90" workbookViewId="0">
      <pane ySplit="1" topLeftCell="A307" activePane="bottomLeft" state="frozen"/>
      <selection pane="bottomLeft" activeCell="B320" sqref="B320"/>
    </sheetView>
  </sheetViews>
  <sheetFormatPr defaultRowHeight="12.75"/>
  <cols>
    <col min="1" max="1" width="4.7109375" style="358" customWidth="1"/>
    <col min="2" max="2" width="18.7109375" style="220" customWidth="1"/>
    <col min="3" max="3" width="72.5703125" customWidth="1"/>
    <col min="4" max="4" width="7.42578125" customWidth="1"/>
    <col min="5" max="8" width="15.7109375" style="217" customWidth="1"/>
    <col min="10" max="10" width="12.140625" bestFit="1" customWidth="1"/>
  </cols>
  <sheetData>
    <row r="1" spans="1:8" ht="51.75" thickBot="1">
      <c r="A1" s="341" t="s">
        <v>120</v>
      </c>
      <c r="B1" s="314" t="s">
        <v>2048</v>
      </c>
      <c r="C1" s="314" t="s">
        <v>121</v>
      </c>
      <c r="D1" s="314" t="s">
        <v>1936</v>
      </c>
      <c r="E1" s="346" t="s">
        <v>2656</v>
      </c>
      <c r="F1" s="315" t="s">
        <v>2657</v>
      </c>
      <c r="G1" s="315" t="s">
        <v>2658</v>
      </c>
      <c r="H1" s="346" t="s">
        <v>2659</v>
      </c>
    </row>
    <row r="2" spans="1:8">
      <c r="A2" s="388" t="s">
        <v>1960</v>
      </c>
      <c r="B2" s="389" t="s">
        <v>1961</v>
      </c>
      <c r="C2" s="390" t="s">
        <v>1962</v>
      </c>
      <c r="D2" s="391"/>
      <c r="E2" s="392"/>
      <c r="F2" s="392"/>
      <c r="G2" s="392"/>
      <c r="H2" s="392"/>
    </row>
    <row r="3" spans="1:8">
      <c r="A3" s="393" t="s">
        <v>1963</v>
      </c>
      <c r="B3" s="317" t="s">
        <v>1231</v>
      </c>
      <c r="C3" s="316" t="s">
        <v>1964</v>
      </c>
      <c r="D3" s="318"/>
      <c r="E3" s="325"/>
      <c r="F3" s="325"/>
      <c r="G3" s="325"/>
      <c r="H3" s="325"/>
    </row>
    <row r="4" spans="1:8">
      <c r="A4" s="393" t="s">
        <v>1965</v>
      </c>
      <c r="B4" s="317" t="s">
        <v>1233</v>
      </c>
      <c r="C4" s="316" t="s">
        <v>1966</v>
      </c>
      <c r="D4" s="318"/>
      <c r="E4" s="325"/>
      <c r="F4" s="325"/>
      <c r="G4" s="325"/>
      <c r="H4" s="325"/>
    </row>
    <row r="5" spans="1:8">
      <c r="A5" s="393" t="s">
        <v>1967</v>
      </c>
      <c r="B5" s="317" t="s">
        <v>122</v>
      </c>
      <c r="C5" s="316" t="s">
        <v>1968</v>
      </c>
      <c r="D5" s="318"/>
      <c r="E5" s="325"/>
      <c r="F5" s="325"/>
      <c r="G5" s="325"/>
      <c r="H5" s="325"/>
    </row>
    <row r="6" spans="1:8">
      <c r="A6" s="393" t="s">
        <v>1969</v>
      </c>
      <c r="B6" s="317" t="s">
        <v>123</v>
      </c>
      <c r="C6" s="316" t="s">
        <v>1236</v>
      </c>
      <c r="D6" s="318"/>
      <c r="E6" s="325"/>
      <c r="F6" s="325"/>
      <c r="G6" s="325"/>
      <c r="H6" s="325"/>
    </row>
    <row r="7" spans="1:8">
      <c r="A7" s="382">
        <v>7</v>
      </c>
      <c r="B7" s="799">
        <v>600100100100000</v>
      </c>
      <c r="C7" s="320" t="s">
        <v>1821</v>
      </c>
      <c r="D7" s="321"/>
      <c r="E7" s="326">
        <f>+F7+G7</f>
        <v>19996653.440000001</v>
      </c>
      <c r="F7" s="351">
        <v>19996653.440000001</v>
      </c>
      <c r="G7" s="351"/>
      <c r="H7" s="326">
        <v>18496634.670000002</v>
      </c>
    </row>
    <row r="8" spans="1:8">
      <c r="A8" s="393" t="s">
        <v>1969</v>
      </c>
      <c r="B8" s="800" t="s">
        <v>125</v>
      </c>
      <c r="C8" s="316" t="s">
        <v>1237</v>
      </c>
      <c r="D8" s="318"/>
      <c r="E8" s="363"/>
      <c r="F8" s="363"/>
      <c r="G8" s="363"/>
      <c r="H8" s="363">
        <v>0</v>
      </c>
    </row>
    <row r="9" spans="1:8">
      <c r="A9" s="382">
        <v>7</v>
      </c>
      <c r="B9" s="799">
        <v>600100100200000</v>
      </c>
      <c r="C9" s="320" t="s">
        <v>124</v>
      </c>
      <c r="D9" s="321"/>
      <c r="E9" s="326">
        <f t="shared" ref="E9:E71" si="0">+F9+G9</f>
        <v>21785251.82</v>
      </c>
      <c r="F9" s="351">
        <v>21785251.82</v>
      </c>
      <c r="G9" s="351"/>
      <c r="H9" s="326">
        <v>33243034.84</v>
      </c>
    </row>
    <row r="10" spans="1:8">
      <c r="A10" s="393" t="s">
        <v>1969</v>
      </c>
      <c r="B10" s="800" t="s">
        <v>126</v>
      </c>
      <c r="C10" s="316" t="s">
        <v>1238</v>
      </c>
      <c r="D10" s="318"/>
      <c r="E10" s="363"/>
      <c r="F10" s="363"/>
      <c r="G10" s="363"/>
      <c r="H10" s="363">
        <v>0</v>
      </c>
    </row>
    <row r="11" spans="1:8">
      <c r="A11" s="393" t="s">
        <v>1970</v>
      </c>
      <c r="B11" s="800" t="s">
        <v>128</v>
      </c>
      <c r="C11" s="316" t="s">
        <v>1971</v>
      </c>
      <c r="D11" s="318"/>
      <c r="E11" s="363"/>
      <c r="F11" s="363"/>
      <c r="G11" s="363"/>
      <c r="H11" s="363">
        <v>0</v>
      </c>
    </row>
    <row r="12" spans="1:8">
      <c r="A12" s="382">
        <v>8</v>
      </c>
      <c r="B12" s="799">
        <v>600100100301000</v>
      </c>
      <c r="C12" s="320" t="s">
        <v>127</v>
      </c>
      <c r="D12" s="321"/>
      <c r="E12" s="326">
        <f t="shared" si="0"/>
        <v>0</v>
      </c>
      <c r="F12" s="351"/>
      <c r="G12" s="351"/>
      <c r="H12" s="326">
        <v>0</v>
      </c>
    </row>
    <row r="13" spans="1:8">
      <c r="A13" s="393" t="s">
        <v>1970</v>
      </c>
      <c r="B13" s="800" t="s">
        <v>130</v>
      </c>
      <c r="C13" s="316" t="s">
        <v>1240</v>
      </c>
      <c r="D13" s="318"/>
      <c r="E13" s="363"/>
      <c r="F13" s="363"/>
      <c r="G13" s="363"/>
      <c r="H13" s="363">
        <v>0</v>
      </c>
    </row>
    <row r="14" spans="1:8">
      <c r="A14" s="382">
        <v>8</v>
      </c>
      <c r="B14" s="799">
        <v>600100100302000</v>
      </c>
      <c r="C14" s="320" t="s">
        <v>129</v>
      </c>
      <c r="D14" s="321"/>
      <c r="E14" s="326">
        <f t="shared" si="0"/>
        <v>2781000</v>
      </c>
      <c r="F14" s="351">
        <v>2781000</v>
      </c>
      <c r="G14" s="351"/>
      <c r="H14" s="326">
        <v>2781000</v>
      </c>
    </row>
    <row r="15" spans="1:8" ht="25.5">
      <c r="A15" s="393" t="s">
        <v>1969</v>
      </c>
      <c r="B15" s="800" t="s">
        <v>132</v>
      </c>
      <c r="C15" s="316" t="s">
        <v>1241</v>
      </c>
      <c r="D15" s="318"/>
      <c r="E15" s="363"/>
      <c r="F15" s="363"/>
      <c r="G15" s="363"/>
      <c r="H15" s="363">
        <v>0</v>
      </c>
    </row>
    <row r="16" spans="1:8">
      <c r="A16" s="382">
        <v>7</v>
      </c>
      <c r="B16" s="799">
        <v>600100100400000</v>
      </c>
      <c r="C16" s="320" t="s">
        <v>131</v>
      </c>
      <c r="D16" s="321"/>
      <c r="E16" s="326">
        <f t="shared" si="0"/>
        <v>0</v>
      </c>
      <c r="F16" s="351"/>
      <c r="G16" s="351"/>
      <c r="H16" s="326">
        <v>0</v>
      </c>
    </row>
    <row r="17" spans="1:8">
      <c r="A17" s="393" t="s">
        <v>1967</v>
      </c>
      <c r="B17" s="800" t="s">
        <v>133</v>
      </c>
      <c r="C17" s="316" t="s">
        <v>1972</v>
      </c>
      <c r="D17" s="318"/>
      <c r="E17" s="363"/>
      <c r="F17" s="363"/>
      <c r="G17" s="363"/>
      <c r="H17" s="363">
        <v>0</v>
      </c>
    </row>
    <row r="18" spans="1:8">
      <c r="A18" s="382">
        <v>6</v>
      </c>
      <c r="B18" s="799">
        <v>600100200000000</v>
      </c>
      <c r="C18" s="320" t="s">
        <v>134</v>
      </c>
      <c r="D18" s="321"/>
      <c r="E18" s="326">
        <f t="shared" si="0"/>
        <v>0</v>
      </c>
      <c r="F18" s="351"/>
      <c r="G18" s="351"/>
      <c r="H18" s="326">
        <v>0</v>
      </c>
    </row>
    <row r="19" spans="1:8">
      <c r="A19" s="393" t="s">
        <v>1965</v>
      </c>
      <c r="B19" s="800" t="s">
        <v>135</v>
      </c>
      <c r="C19" s="316" t="s">
        <v>1973</v>
      </c>
      <c r="D19" s="318"/>
      <c r="E19" s="363"/>
      <c r="F19" s="363"/>
      <c r="G19" s="363"/>
      <c r="H19" s="363">
        <v>0</v>
      </c>
    </row>
    <row r="20" spans="1:8">
      <c r="A20" s="393" t="s">
        <v>1967</v>
      </c>
      <c r="B20" s="800" t="s">
        <v>136</v>
      </c>
      <c r="C20" s="316" t="s">
        <v>1974</v>
      </c>
      <c r="D20" s="318"/>
      <c r="E20" s="363"/>
      <c r="F20" s="363"/>
      <c r="G20" s="363"/>
      <c r="H20" s="363">
        <v>0</v>
      </c>
    </row>
    <row r="21" spans="1:8">
      <c r="A21" s="393" t="s">
        <v>1969</v>
      </c>
      <c r="B21" s="800" t="s">
        <v>137</v>
      </c>
      <c r="C21" s="316" t="s">
        <v>1975</v>
      </c>
      <c r="D21" s="318"/>
      <c r="E21" s="363"/>
      <c r="F21" s="363"/>
      <c r="G21" s="363"/>
      <c r="H21" s="363">
        <v>0</v>
      </c>
    </row>
    <row r="22" spans="1:8">
      <c r="A22" s="382">
        <v>7</v>
      </c>
      <c r="B22" s="799">
        <v>600200100101000</v>
      </c>
      <c r="C22" s="320" t="s">
        <v>138</v>
      </c>
      <c r="D22" s="321"/>
      <c r="E22" s="326">
        <f t="shared" si="0"/>
        <v>0</v>
      </c>
      <c r="F22" s="351"/>
      <c r="G22" s="351"/>
      <c r="H22" s="326">
        <v>0</v>
      </c>
    </row>
    <row r="23" spans="1:8">
      <c r="A23" s="382">
        <v>7</v>
      </c>
      <c r="B23" s="799">
        <v>600200100102000</v>
      </c>
      <c r="C23" s="320" t="s">
        <v>139</v>
      </c>
      <c r="D23" s="321"/>
      <c r="E23" s="326">
        <f t="shared" si="0"/>
        <v>0</v>
      </c>
      <c r="F23" s="351"/>
      <c r="G23" s="351"/>
      <c r="H23" s="326">
        <v>0</v>
      </c>
    </row>
    <row r="24" spans="1:8">
      <c r="A24" s="382">
        <v>7</v>
      </c>
      <c r="B24" s="799">
        <v>600200100103000</v>
      </c>
      <c r="C24" s="320" t="s">
        <v>140</v>
      </c>
      <c r="D24" s="321"/>
      <c r="E24" s="326">
        <f t="shared" si="0"/>
        <v>0</v>
      </c>
      <c r="F24" s="351"/>
      <c r="G24" s="351"/>
      <c r="H24" s="326">
        <v>0</v>
      </c>
    </row>
    <row r="25" spans="1:8">
      <c r="A25" s="382">
        <v>7</v>
      </c>
      <c r="B25" s="799">
        <v>600200100104000</v>
      </c>
      <c r="C25" s="320" t="s">
        <v>141</v>
      </c>
      <c r="D25" s="321"/>
      <c r="E25" s="326">
        <f t="shared" si="0"/>
        <v>0</v>
      </c>
      <c r="F25" s="351"/>
      <c r="G25" s="351"/>
      <c r="H25" s="326">
        <v>0</v>
      </c>
    </row>
    <row r="26" spans="1:8">
      <c r="A26" s="382">
        <v>7</v>
      </c>
      <c r="B26" s="799">
        <v>600200100108000</v>
      </c>
      <c r="C26" s="320" t="s">
        <v>142</v>
      </c>
      <c r="D26" s="321"/>
      <c r="E26" s="326">
        <f t="shared" si="0"/>
        <v>38785988.990000002</v>
      </c>
      <c r="F26" s="351">
        <v>38785988.990000002</v>
      </c>
      <c r="G26" s="351"/>
      <c r="H26" s="326">
        <v>6726687.8399999999</v>
      </c>
    </row>
    <row r="27" spans="1:8">
      <c r="A27" s="382">
        <v>7</v>
      </c>
      <c r="B27" s="799">
        <v>600200100109000</v>
      </c>
      <c r="C27" s="320" t="s">
        <v>143</v>
      </c>
      <c r="D27" s="321"/>
      <c r="E27" s="326">
        <f t="shared" si="0"/>
        <v>0</v>
      </c>
      <c r="F27" s="351"/>
      <c r="G27" s="351"/>
      <c r="H27" s="326">
        <v>0</v>
      </c>
    </row>
    <row r="28" spans="1:8" ht="25.5">
      <c r="A28" s="393" t="s">
        <v>1969</v>
      </c>
      <c r="B28" s="800" t="s">
        <v>144</v>
      </c>
      <c r="C28" s="316" t="s">
        <v>1976</v>
      </c>
      <c r="D28" s="318"/>
      <c r="E28" s="363"/>
      <c r="F28" s="363"/>
      <c r="G28" s="363"/>
      <c r="H28" s="363">
        <v>0</v>
      </c>
    </row>
    <row r="29" spans="1:8" ht="24">
      <c r="A29" s="382">
        <v>7</v>
      </c>
      <c r="B29" s="799">
        <v>600200100200000</v>
      </c>
      <c r="C29" s="320" t="s">
        <v>1958</v>
      </c>
      <c r="D29" s="321"/>
      <c r="E29" s="326">
        <f t="shared" si="0"/>
        <v>0</v>
      </c>
      <c r="F29" s="351"/>
      <c r="G29" s="351"/>
      <c r="H29" s="326">
        <v>0</v>
      </c>
    </row>
    <row r="30" spans="1:8" ht="25.5">
      <c r="A30" s="393" t="s">
        <v>1969</v>
      </c>
      <c r="B30" s="800" t="s">
        <v>145</v>
      </c>
      <c r="C30" s="316" t="s">
        <v>1977</v>
      </c>
      <c r="D30" s="318"/>
      <c r="E30" s="363"/>
      <c r="F30" s="363"/>
      <c r="G30" s="363"/>
      <c r="H30" s="363">
        <v>0</v>
      </c>
    </row>
    <row r="31" spans="1:8" ht="24">
      <c r="A31" s="382">
        <v>7</v>
      </c>
      <c r="B31" s="799">
        <v>600200100300000</v>
      </c>
      <c r="C31" s="320" t="s">
        <v>1959</v>
      </c>
      <c r="D31" s="321"/>
      <c r="E31" s="326">
        <f t="shared" si="0"/>
        <v>345000</v>
      </c>
      <c r="F31" s="351">
        <v>345000</v>
      </c>
      <c r="G31" s="351"/>
      <c r="H31" s="326">
        <v>0</v>
      </c>
    </row>
    <row r="32" spans="1:8">
      <c r="A32" s="393" t="s">
        <v>1969</v>
      </c>
      <c r="B32" s="800" t="s">
        <v>147</v>
      </c>
      <c r="C32" s="316" t="s">
        <v>1978</v>
      </c>
      <c r="D32" s="318"/>
      <c r="E32" s="363"/>
      <c r="F32" s="363"/>
      <c r="G32" s="363"/>
      <c r="H32" s="363">
        <v>0</v>
      </c>
    </row>
    <row r="33" spans="1:8">
      <c r="A33" s="382">
        <v>7</v>
      </c>
      <c r="B33" s="799">
        <v>600200100400000</v>
      </c>
      <c r="C33" s="320" t="s">
        <v>146</v>
      </c>
      <c r="D33" s="321"/>
      <c r="E33" s="326">
        <f t="shared" si="0"/>
        <v>1430000</v>
      </c>
      <c r="F33" s="351">
        <v>1430000</v>
      </c>
      <c r="G33" s="351"/>
      <c r="H33" s="326">
        <v>0</v>
      </c>
    </row>
    <row r="34" spans="1:8" ht="25.5">
      <c r="A34" s="393" t="s">
        <v>1967</v>
      </c>
      <c r="B34" s="800" t="s">
        <v>148</v>
      </c>
      <c r="C34" s="316" t="s">
        <v>1979</v>
      </c>
      <c r="D34" s="318"/>
      <c r="E34" s="363"/>
      <c r="F34" s="363"/>
      <c r="G34" s="363"/>
      <c r="H34" s="363">
        <v>0</v>
      </c>
    </row>
    <row r="35" spans="1:8" ht="25.5">
      <c r="A35" s="393" t="s">
        <v>1969</v>
      </c>
      <c r="B35" s="800" t="s">
        <v>150</v>
      </c>
      <c r="C35" s="316" t="s">
        <v>1980</v>
      </c>
      <c r="D35" s="318" t="s">
        <v>1248</v>
      </c>
      <c r="E35" s="363"/>
      <c r="F35" s="363"/>
      <c r="G35" s="363"/>
      <c r="H35" s="363">
        <v>0</v>
      </c>
    </row>
    <row r="36" spans="1:8" ht="24">
      <c r="A36" s="382" t="s">
        <v>1970</v>
      </c>
      <c r="B36" s="799">
        <v>600200200100000</v>
      </c>
      <c r="C36" s="320" t="s">
        <v>149</v>
      </c>
      <c r="D36" s="321" t="s">
        <v>1248</v>
      </c>
      <c r="E36" s="326">
        <f t="shared" si="0"/>
        <v>0</v>
      </c>
      <c r="F36" s="351"/>
      <c r="G36" s="351"/>
      <c r="H36" s="326">
        <v>0</v>
      </c>
    </row>
    <row r="37" spans="1:8" ht="25.5">
      <c r="A37" s="393" t="s">
        <v>1969</v>
      </c>
      <c r="B37" s="800" t="s">
        <v>152</v>
      </c>
      <c r="C37" s="316" t="s">
        <v>1981</v>
      </c>
      <c r="D37" s="318" t="s">
        <v>1248</v>
      </c>
      <c r="E37" s="363"/>
      <c r="F37" s="363"/>
      <c r="G37" s="363"/>
      <c r="H37" s="363">
        <v>0</v>
      </c>
    </row>
    <row r="38" spans="1:8">
      <c r="A38" s="382">
        <v>7</v>
      </c>
      <c r="B38" s="799">
        <v>600200200200000</v>
      </c>
      <c r="C38" s="320" t="s">
        <v>151</v>
      </c>
      <c r="D38" s="321" t="s">
        <v>1248</v>
      </c>
      <c r="E38" s="326">
        <f t="shared" si="0"/>
        <v>0</v>
      </c>
      <c r="F38" s="351"/>
      <c r="G38" s="351"/>
      <c r="H38" s="326">
        <v>0</v>
      </c>
    </row>
    <row r="39" spans="1:8">
      <c r="A39" s="393" t="s">
        <v>1967</v>
      </c>
      <c r="B39" s="800" t="s">
        <v>153</v>
      </c>
      <c r="C39" s="316" t="s">
        <v>1982</v>
      </c>
      <c r="D39" s="318"/>
      <c r="E39" s="363"/>
      <c r="F39" s="363"/>
      <c r="G39" s="363"/>
      <c r="H39" s="363">
        <v>0</v>
      </c>
    </row>
    <row r="40" spans="1:8">
      <c r="A40" s="393" t="s">
        <v>1969</v>
      </c>
      <c r="B40" s="800" t="s">
        <v>155</v>
      </c>
      <c r="C40" s="316" t="s">
        <v>1252</v>
      </c>
      <c r="D40" s="318"/>
      <c r="E40" s="363"/>
      <c r="F40" s="363"/>
      <c r="G40" s="363"/>
      <c r="H40" s="363">
        <v>0</v>
      </c>
    </row>
    <row r="41" spans="1:8">
      <c r="A41" s="382">
        <v>7</v>
      </c>
      <c r="B41" s="801">
        <v>600200300050000</v>
      </c>
      <c r="C41" s="320" t="s">
        <v>154</v>
      </c>
      <c r="D41" s="321"/>
      <c r="E41" s="326">
        <f t="shared" si="0"/>
        <v>966418.02</v>
      </c>
      <c r="F41" s="351">
        <v>966418.02</v>
      </c>
      <c r="G41" s="351"/>
      <c r="H41" s="326">
        <v>955315.95</v>
      </c>
    </row>
    <row r="42" spans="1:8">
      <c r="A42" s="393" t="s">
        <v>1969</v>
      </c>
      <c r="B42" s="800" t="s">
        <v>156</v>
      </c>
      <c r="C42" s="316" t="s">
        <v>1253</v>
      </c>
      <c r="D42" s="318"/>
      <c r="E42" s="363"/>
      <c r="F42" s="363"/>
      <c r="G42" s="363"/>
      <c r="H42" s="363">
        <v>0</v>
      </c>
    </row>
    <row r="43" spans="1:8">
      <c r="A43" s="382">
        <v>7</v>
      </c>
      <c r="B43" s="799">
        <v>600200300101000</v>
      </c>
      <c r="C43" s="320" t="s">
        <v>157</v>
      </c>
      <c r="D43" s="321"/>
      <c r="E43" s="326">
        <f t="shared" si="0"/>
        <v>0</v>
      </c>
      <c r="F43" s="351"/>
      <c r="G43" s="351"/>
      <c r="H43" s="326">
        <v>0</v>
      </c>
    </row>
    <row r="44" spans="1:8">
      <c r="A44" s="382">
        <v>7</v>
      </c>
      <c r="B44" s="799">
        <v>600200300102000</v>
      </c>
      <c r="C44" s="320" t="s">
        <v>158</v>
      </c>
      <c r="D44" s="321"/>
      <c r="E44" s="326">
        <f t="shared" si="0"/>
        <v>0</v>
      </c>
      <c r="F44" s="351"/>
      <c r="G44" s="351"/>
      <c r="H44" s="326">
        <v>0</v>
      </c>
    </row>
    <row r="45" spans="1:8">
      <c r="A45" s="382">
        <v>7</v>
      </c>
      <c r="B45" s="799">
        <v>600200300103000</v>
      </c>
      <c r="C45" s="320" t="s">
        <v>159</v>
      </c>
      <c r="D45" s="321"/>
      <c r="E45" s="326">
        <f t="shared" si="0"/>
        <v>0</v>
      </c>
      <c r="F45" s="351"/>
      <c r="G45" s="351"/>
      <c r="H45" s="326">
        <v>0</v>
      </c>
    </row>
    <row r="46" spans="1:8">
      <c r="A46" s="382">
        <v>7</v>
      </c>
      <c r="B46" s="799">
        <v>600200300104000</v>
      </c>
      <c r="C46" s="320" t="s">
        <v>160</v>
      </c>
      <c r="D46" s="321"/>
      <c r="E46" s="326">
        <f t="shared" si="0"/>
        <v>0</v>
      </c>
      <c r="F46" s="351"/>
      <c r="G46" s="351"/>
      <c r="H46" s="326">
        <v>0</v>
      </c>
    </row>
    <row r="47" spans="1:8">
      <c r="A47" s="382">
        <v>7</v>
      </c>
      <c r="B47" s="799">
        <v>600200300108000</v>
      </c>
      <c r="C47" s="320" t="s">
        <v>161</v>
      </c>
      <c r="D47" s="321"/>
      <c r="E47" s="326">
        <f t="shared" si="0"/>
        <v>0</v>
      </c>
      <c r="F47" s="351"/>
      <c r="G47" s="351"/>
      <c r="H47" s="326">
        <v>1383403.2</v>
      </c>
    </row>
    <row r="48" spans="1:8" ht="24">
      <c r="A48" s="382">
        <v>7</v>
      </c>
      <c r="B48" s="799">
        <v>600200300109000</v>
      </c>
      <c r="C48" s="320" t="s">
        <v>162</v>
      </c>
      <c r="D48" s="321"/>
      <c r="E48" s="326">
        <f t="shared" si="0"/>
        <v>0</v>
      </c>
      <c r="F48" s="351"/>
      <c r="G48" s="351"/>
      <c r="H48" s="326">
        <v>0</v>
      </c>
    </row>
    <row r="49" spans="1:8">
      <c r="A49" s="393" t="s">
        <v>1969</v>
      </c>
      <c r="B49" s="800" t="s">
        <v>164</v>
      </c>
      <c r="C49" s="316" t="s">
        <v>1254</v>
      </c>
      <c r="D49" s="318"/>
      <c r="E49" s="363"/>
      <c r="F49" s="363"/>
      <c r="G49" s="363"/>
      <c r="H49" s="363">
        <v>0</v>
      </c>
    </row>
    <row r="50" spans="1:8">
      <c r="A50" s="382" t="s">
        <v>1970</v>
      </c>
      <c r="B50" s="799">
        <v>600200300200000</v>
      </c>
      <c r="C50" s="320" t="s">
        <v>163</v>
      </c>
      <c r="D50" s="321"/>
      <c r="E50" s="326">
        <f t="shared" si="0"/>
        <v>0</v>
      </c>
      <c r="F50" s="351"/>
      <c r="G50" s="351"/>
      <c r="H50" s="326">
        <v>0</v>
      </c>
    </row>
    <row r="51" spans="1:8">
      <c r="A51" s="393" t="s">
        <v>1969</v>
      </c>
      <c r="B51" s="800" t="s">
        <v>166</v>
      </c>
      <c r="C51" s="316" t="s">
        <v>1255</v>
      </c>
      <c r="D51" s="318"/>
      <c r="E51" s="363"/>
      <c r="F51" s="363"/>
      <c r="G51" s="363"/>
      <c r="H51" s="363">
        <v>0</v>
      </c>
    </row>
    <row r="52" spans="1:8">
      <c r="A52" s="382">
        <v>7</v>
      </c>
      <c r="B52" s="799">
        <v>600200300300000</v>
      </c>
      <c r="C52" s="320" t="s">
        <v>165</v>
      </c>
      <c r="D52" s="321"/>
      <c r="E52" s="326">
        <f t="shared" si="0"/>
        <v>0</v>
      </c>
      <c r="F52" s="351"/>
      <c r="G52" s="351"/>
      <c r="H52" s="326">
        <v>0</v>
      </c>
    </row>
    <row r="53" spans="1:8" ht="38.25">
      <c r="A53" s="393" t="s">
        <v>1969</v>
      </c>
      <c r="B53" s="800" t="s">
        <v>168</v>
      </c>
      <c r="C53" s="316" t="s">
        <v>1983</v>
      </c>
      <c r="D53" s="318"/>
      <c r="E53" s="363"/>
      <c r="F53" s="363"/>
      <c r="G53" s="363"/>
      <c r="H53" s="363">
        <v>0</v>
      </c>
    </row>
    <row r="54" spans="1:8" ht="36">
      <c r="A54" s="382">
        <v>7</v>
      </c>
      <c r="B54" s="799">
        <v>600200300400000</v>
      </c>
      <c r="C54" s="320" t="s">
        <v>167</v>
      </c>
      <c r="D54" s="321"/>
      <c r="E54" s="326">
        <f t="shared" si="0"/>
        <v>0</v>
      </c>
      <c r="F54" s="351"/>
      <c r="G54" s="351"/>
      <c r="H54" s="326">
        <v>0</v>
      </c>
    </row>
    <row r="55" spans="1:8">
      <c r="A55" s="393" t="s">
        <v>1965</v>
      </c>
      <c r="B55" s="800" t="s">
        <v>169</v>
      </c>
      <c r="C55" s="316" t="s">
        <v>1984</v>
      </c>
      <c r="D55" s="318"/>
      <c r="E55" s="363"/>
      <c r="F55" s="363"/>
      <c r="G55" s="363"/>
      <c r="H55" s="363">
        <v>0</v>
      </c>
    </row>
    <row r="56" spans="1:8">
      <c r="A56" s="393" t="s">
        <v>1967</v>
      </c>
      <c r="B56" s="800" t="s">
        <v>171</v>
      </c>
      <c r="C56" s="316" t="s">
        <v>1985</v>
      </c>
      <c r="D56" s="318"/>
      <c r="E56" s="363"/>
      <c r="F56" s="363"/>
      <c r="G56" s="363"/>
      <c r="H56" s="363">
        <v>0</v>
      </c>
    </row>
    <row r="57" spans="1:8">
      <c r="A57" s="382">
        <v>6</v>
      </c>
      <c r="B57" s="799">
        <v>600300100000000</v>
      </c>
      <c r="C57" s="320" t="s">
        <v>170</v>
      </c>
      <c r="D57" s="321"/>
      <c r="E57" s="326">
        <f t="shared" si="0"/>
        <v>0</v>
      </c>
      <c r="F57" s="351"/>
      <c r="G57" s="351"/>
      <c r="H57" s="326">
        <v>0</v>
      </c>
    </row>
    <row r="58" spans="1:8">
      <c r="A58" s="393" t="s">
        <v>1967</v>
      </c>
      <c r="B58" s="800" t="s">
        <v>173</v>
      </c>
      <c r="C58" s="316" t="s">
        <v>1986</v>
      </c>
      <c r="D58" s="318"/>
      <c r="E58" s="363"/>
      <c r="F58" s="363"/>
      <c r="G58" s="363"/>
      <c r="H58" s="363">
        <v>0</v>
      </c>
    </row>
    <row r="59" spans="1:8">
      <c r="A59" s="382">
        <v>6</v>
      </c>
      <c r="B59" s="799">
        <v>600300200000000</v>
      </c>
      <c r="C59" s="320" t="s">
        <v>172</v>
      </c>
      <c r="D59" s="321"/>
      <c r="E59" s="326">
        <f t="shared" si="0"/>
        <v>0</v>
      </c>
      <c r="F59" s="351"/>
      <c r="G59" s="351"/>
      <c r="H59" s="326">
        <v>0</v>
      </c>
    </row>
    <row r="60" spans="1:8">
      <c r="A60" s="393" t="s">
        <v>1967</v>
      </c>
      <c r="B60" s="800" t="s">
        <v>174</v>
      </c>
      <c r="C60" s="316" t="s">
        <v>1987</v>
      </c>
      <c r="D60" s="318"/>
      <c r="E60" s="363"/>
      <c r="F60" s="363"/>
      <c r="G60" s="363"/>
      <c r="H60" s="363">
        <v>0</v>
      </c>
    </row>
    <row r="61" spans="1:8">
      <c r="A61" s="382">
        <v>6</v>
      </c>
      <c r="B61" s="799">
        <v>600300300100000</v>
      </c>
      <c r="C61" s="320" t="s">
        <v>175</v>
      </c>
      <c r="D61" s="321"/>
      <c r="E61" s="326">
        <f t="shared" si="0"/>
        <v>0</v>
      </c>
      <c r="F61" s="351"/>
      <c r="G61" s="351"/>
      <c r="H61" s="326">
        <v>0</v>
      </c>
    </row>
    <row r="62" spans="1:8">
      <c r="A62" s="382">
        <v>6</v>
      </c>
      <c r="B62" s="799">
        <v>600300300900000</v>
      </c>
      <c r="C62" s="320" t="s">
        <v>176</v>
      </c>
      <c r="D62" s="321"/>
      <c r="E62" s="326">
        <f t="shared" si="0"/>
        <v>0</v>
      </c>
      <c r="F62" s="351"/>
      <c r="G62" s="351"/>
      <c r="H62" s="326">
        <v>0</v>
      </c>
    </row>
    <row r="63" spans="1:8">
      <c r="A63" s="393" t="s">
        <v>1967</v>
      </c>
      <c r="B63" s="800" t="s">
        <v>178</v>
      </c>
      <c r="C63" s="316" t="s">
        <v>1988</v>
      </c>
      <c r="D63" s="318"/>
      <c r="E63" s="363"/>
      <c r="F63" s="363"/>
      <c r="G63" s="363"/>
      <c r="H63" s="363">
        <v>0</v>
      </c>
    </row>
    <row r="64" spans="1:8">
      <c r="A64" s="382" t="s">
        <v>1969</v>
      </c>
      <c r="B64" s="799">
        <v>600300400000000</v>
      </c>
      <c r="C64" s="320" t="s">
        <v>177</v>
      </c>
      <c r="D64" s="321"/>
      <c r="E64" s="326">
        <f t="shared" si="0"/>
        <v>0</v>
      </c>
      <c r="F64" s="351"/>
      <c r="G64" s="351"/>
      <c r="H64" s="326">
        <v>0</v>
      </c>
    </row>
    <row r="65" spans="1:8">
      <c r="A65" s="393" t="s">
        <v>1965</v>
      </c>
      <c r="B65" s="800" t="s">
        <v>180</v>
      </c>
      <c r="C65" s="316" t="s">
        <v>1989</v>
      </c>
      <c r="D65" s="318"/>
      <c r="E65" s="363"/>
      <c r="F65" s="363"/>
      <c r="G65" s="363"/>
      <c r="H65" s="363">
        <v>0</v>
      </c>
    </row>
    <row r="66" spans="1:8">
      <c r="A66" s="382" t="s">
        <v>1967</v>
      </c>
      <c r="B66" s="799">
        <v>600400000000000</v>
      </c>
      <c r="C66" s="320" t="s">
        <v>179</v>
      </c>
      <c r="D66" s="321"/>
      <c r="E66" s="326">
        <f t="shared" si="0"/>
        <v>0</v>
      </c>
      <c r="F66" s="351"/>
      <c r="G66" s="351"/>
      <c r="H66" s="326">
        <v>0</v>
      </c>
    </row>
    <row r="67" spans="1:8">
      <c r="A67" s="393" t="s">
        <v>1963</v>
      </c>
      <c r="B67" s="800" t="s">
        <v>181</v>
      </c>
      <c r="C67" s="316" t="s">
        <v>1990</v>
      </c>
      <c r="D67" s="318"/>
      <c r="E67" s="363"/>
      <c r="F67" s="363"/>
      <c r="G67" s="363"/>
      <c r="H67" s="363">
        <v>0</v>
      </c>
    </row>
    <row r="68" spans="1:8" ht="25.5">
      <c r="A68" s="393" t="s">
        <v>1965</v>
      </c>
      <c r="B68" s="800" t="s">
        <v>183</v>
      </c>
      <c r="C68" s="316" t="s">
        <v>1991</v>
      </c>
      <c r="D68" s="318"/>
      <c r="E68" s="363"/>
      <c r="F68" s="363"/>
      <c r="G68" s="363"/>
      <c r="H68" s="363">
        <v>0</v>
      </c>
    </row>
    <row r="69" spans="1:8" ht="24">
      <c r="A69" s="382" t="s">
        <v>1967</v>
      </c>
      <c r="B69" s="799">
        <v>610100000000000</v>
      </c>
      <c r="C69" s="320" t="s">
        <v>182</v>
      </c>
      <c r="D69" s="321"/>
      <c r="E69" s="326">
        <f t="shared" si="0"/>
        <v>0</v>
      </c>
      <c r="F69" s="351"/>
      <c r="G69" s="351"/>
      <c r="H69" s="326">
        <v>0</v>
      </c>
    </row>
    <row r="70" spans="1:8" ht="25.5">
      <c r="A70" s="393" t="s">
        <v>1965</v>
      </c>
      <c r="B70" s="800" t="s">
        <v>185</v>
      </c>
      <c r="C70" s="316" t="s">
        <v>1992</v>
      </c>
      <c r="D70" s="318"/>
      <c r="E70" s="363"/>
      <c r="F70" s="363"/>
      <c r="G70" s="363"/>
      <c r="H70" s="363">
        <v>0</v>
      </c>
    </row>
    <row r="71" spans="1:8">
      <c r="A71" s="382" t="s">
        <v>1967</v>
      </c>
      <c r="B71" s="799">
        <v>610200000000000</v>
      </c>
      <c r="C71" s="320" t="s">
        <v>184</v>
      </c>
      <c r="D71" s="321"/>
      <c r="E71" s="326">
        <f t="shared" si="0"/>
        <v>0</v>
      </c>
      <c r="F71" s="351"/>
      <c r="G71" s="351"/>
      <c r="H71" s="326">
        <v>0</v>
      </c>
    </row>
    <row r="72" spans="1:8">
      <c r="A72" s="393" t="s">
        <v>1963</v>
      </c>
      <c r="B72" s="800" t="s">
        <v>186</v>
      </c>
      <c r="C72" s="316" t="s">
        <v>1993</v>
      </c>
      <c r="D72" s="318"/>
      <c r="E72" s="363"/>
      <c r="F72" s="363"/>
      <c r="G72" s="363"/>
      <c r="H72" s="363">
        <v>0</v>
      </c>
    </row>
    <row r="73" spans="1:8" ht="25.5">
      <c r="A73" s="393" t="s">
        <v>1965</v>
      </c>
      <c r="B73" s="800" t="s">
        <v>188</v>
      </c>
      <c r="C73" s="316" t="s">
        <v>1267</v>
      </c>
      <c r="D73" s="318"/>
      <c r="E73" s="363"/>
      <c r="F73" s="363"/>
      <c r="G73" s="363"/>
      <c r="H73" s="363">
        <v>0</v>
      </c>
    </row>
    <row r="74" spans="1:8" ht="24">
      <c r="A74" s="382" t="s">
        <v>1967</v>
      </c>
      <c r="B74" s="799">
        <v>620050000000000</v>
      </c>
      <c r="C74" s="320" t="s">
        <v>187</v>
      </c>
      <c r="D74" s="321"/>
      <c r="E74" s="326">
        <f t="shared" ref="E74:E135" si="1">+F74+G74</f>
        <v>13336758.57</v>
      </c>
      <c r="F74" s="351">
        <v>13336758.57</v>
      </c>
      <c r="G74" s="351"/>
      <c r="H74" s="326">
        <v>677835.75</v>
      </c>
    </row>
    <row r="75" spans="1:8" ht="25.5">
      <c r="A75" s="393" t="s">
        <v>1965</v>
      </c>
      <c r="B75" s="800" t="s">
        <v>190</v>
      </c>
      <c r="C75" s="316" t="s">
        <v>1268</v>
      </c>
      <c r="D75" s="318"/>
      <c r="E75" s="363"/>
      <c r="F75" s="363"/>
      <c r="G75" s="363"/>
      <c r="H75" s="363">
        <v>0</v>
      </c>
    </row>
    <row r="76" spans="1:8" ht="24">
      <c r="A76" s="382" t="s">
        <v>1967</v>
      </c>
      <c r="B76" s="799">
        <v>620100000000000</v>
      </c>
      <c r="C76" s="320" t="s">
        <v>189</v>
      </c>
      <c r="D76" s="321"/>
      <c r="E76" s="326">
        <f t="shared" si="1"/>
        <v>0</v>
      </c>
      <c r="F76" s="354"/>
      <c r="G76" s="354"/>
      <c r="H76" s="326">
        <v>0</v>
      </c>
    </row>
    <row r="77" spans="1:8" ht="25.5">
      <c r="A77" s="393" t="s">
        <v>1965</v>
      </c>
      <c r="B77" s="800" t="s">
        <v>192</v>
      </c>
      <c r="C77" s="316" t="s">
        <v>1269</v>
      </c>
      <c r="D77" s="318"/>
      <c r="E77" s="363"/>
      <c r="F77" s="363"/>
      <c r="G77" s="363"/>
      <c r="H77" s="363">
        <v>0</v>
      </c>
    </row>
    <row r="78" spans="1:8" ht="24">
      <c r="A78" s="382" t="s">
        <v>1967</v>
      </c>
      <c r="B78" s="799">
        <v>620200000000000</v>
      </c>
      <c r="C78" s="320" t="s">
        <v>191</v>
      </c>
      <c r="D78" s="321"/>
      <c r="E78" s="326">
        <f t="shared" si="1"/>
        <v>933282.16</v>
      </c>
      <c r="F78" s="351">
        <v>933282.16</v>
      </c>
      <c r="G78" s="351"/>
      <c r="H78" s="326">
        <v>36765.990000000005</v>
      </c>
    </row>
    <row r="79" spans="1:8" ht="25.5">
      <c r="A79" s="393" t="s">
        <v>1965</v>
      </c>
      <c r="B79" s="800" t="s">
        <v>194</v>
      </c>
      <c r="C79" s="316" t="s">
        <v>1270</v>
      </c>
      <c r="D79" s="318"/>
      <c r="E79" s="363"/>
      <c r="F79" s="363"/>
      <c r="G79" s="363"/>
      <c r="H79" s="363">
        <v>0</v>
      </c>
    </row>
    <row r="80" spans="1:8">
      <c r="A80" s="382" t="s">
        <v>1967</v>
      </c>
      <c r="B80" s="799">
        <v>620300000000000</v>
      </c>
      <c r="C80" s="320" t="s">
        <v>193</v>
      </c>
      <c r="D80" s="321"/>
      <c r="E80" s="326">
        <f t="shared" si="1"/>
        <v>0</v>
      </c>
      <c r="F80" s="351"/>
      <c r="G80" s="351"/>
      <c r="H80" s="326">
        <v>0</v>
      </c>
    </row>
    <row r="81" spans="1:8" ht="25.5">
      <c r="A81" s="393" t="s">
        <v>1965</v>
      </c>
      <c r="B81" s="800" t="s">
        <v>196</v>
      </c>
      <c r="C81" s="316" t="s">
        <v>1271</v>
      </c>
      <c r="D81" s="318"/>
      <c r="E81" s="363"/>
      <c r="F81" s="363"/>
      <c r="G81" s="363"/>
      <c r="H81" s="363">
        <v>0</v>
      </c>
    </row>
    <row r="82" spans="1:8">
      <c r="A82" s="382" t="s">
        <v>1967</v>
      </c>
      <c r="B82" s="799">
        <v>620400000000000</v>
      </c>
      <c r="C82" s="320" t="s">
        <v>195</v>
      </c>
      <c r="D82" s="321"/>
      <c r="E82" s="326">
        <f t="shared" si="1"/>
        <v>0</v>
      </c>
      <c r="F82" s="351"/>
      <c r="G82" s="351"/>
      <c r="H82" s="326">
        <v>0</v>
      </c>
    </row>
    <row r="83" spans="1:8">
      <c r="A83" s="393" t="s">
        <v>1963</v>
      </c>
      <c r="B83" s="800" t="s">
        <v>1272</v>
      </c>
      <c r="C83" s="316" t="s">
        <v>1994</v>
      </c>
      <c r="D83" s="318"/>
      <c r="E83" s="363"/>
      <c r="F83" s="363"/>
      <c r="G83" s="363"/>
      <c r="H83" s="363">
        <v>0</v>
      </c>
    </row>
    <row r="84" spans="1:8" ht="25.5">
      <c r="A84" s="393" t="s">
        <v>1965</v>
      </c>
      <c r="B84" s="800" t="s">
        <v>197</v>
      </c>
      <c r="C84" s="316" t="s">
        <v>1995</v>
      </c>
      <c r="D84" s="318"/>
      <c r="E84" s="363"/>
      <c r="F84" s="363"/>
      <c r="G84" s="363"/>
      <c r="H84" s="363">
        <v>0</v>
      </c>
    </row>
    <row r="85" spans="1:8" ht="25.5">
      <c r="A85" s="393" t="s">
        <v>1967</v>
      </c>
      <c r="B85" s="800" t="s">
        <v>198</v>
      </c>
      <c r="C85" s="316" t="s">
        <v>1996</v>
      </c>
      <c r="D85" s="318" t="s">
        <v>1248</v>
      </c>
      <c r="E85" s="363"/>
      <c r="F85" s="363"/>
      <c r="G85" s="363"/>
      <c r="H85" s="363">
        <v>0</v>
      </c>
    </row>
    <row r="86" spans="1:8">
      <c r="A86" s="393" t="s">
        <v>1969</v>
      </c>
      <c r="B86" s="800" t="s">
        <v>200</v>
      </c>
      <c r="C86" s="316" t="s">
        <v>1276</v>
      </c>
      <c r="D86" s="318" t="s">
        <v>1248</v>
      </c>
      <c r="E86" s="363"/>
      <c r="F86" s="363"/>
      <c r="G86" s="363"/>
      <c r="H86" s="363">
        <v>0</v>
      </c>
    </row>
    <row r="87" spans="1:8">
      <c r="A87" s="382">
        <v>7</v>
      </c>
      <c r="B87" s="799">
        <v>630100100101000</v>
      </c>
      <c r="C87" s="320" t="s">
        <v>201</v>
      </c>
      <c r="D87" s="321" t="s">
        <v>1248</v>
      </c>
      <c r="E87" s="326">
        <f t="shared" si="1"/>
        <v>0</v>
      </c>
      <c r="F87" s="351"/>
      <c r="G87" s="351"/>
      <c r="H87" s="326">
        <v>0</v>
      </c>
    </row>
    <row r="88" spans="1:8" ht="24">
      <c r="A88" s="382">
        <v>7</v>
      </c>
      <c r="B88" s="799">
        <v>630100100102000</v>
      </c>
      <c r="C88" s="320" t="s">
        <v>1997</v>
      </c>
      <c r="D88" s="321" t="s">
        <v>1248</v>
      </c>
      <c r="E88" s="326">
        <f t="shared" si="1"/>
        <v>0</v>
      </c>
      <c r="F88" s="351"/>
      <c r="G88" s="351"/>
      <c r="H88" s="326">
        <v>0</v>
      </c>
    </row>
    <row r="89" spans="1:8">
      <c r="A89" s="393" t="s">
        <v>1969</v>
      </c>
      <c r="B89" s="800" t="s">
        <v>202</v>
      </c>
      <c r="C89" s="316" t="s">
        <v>1277</v>
      </c>
      <c r="D89" s="318" t="s">
        <v>1248</v>
      </c>
      <c r="E89" s="363"/>
      <c r="F89" s="363"/>
      <c r="G89" s="363"/>
      <c r="H89" s="363">
        <v>0</v>
      </c>
    </row>
    <row r="90" spans="1:8">
      <c r="A90" s="382">
        <v>7</v>
      </c>
      <c r="B90" s="799">
        <v>630100100201000</v>
      </c>
      <c r="C90" s="320" t="s">
        <v>203</v>
      </c>
      <c r="D90" s="321" t="s">
        <v>1248</v>
      </c>
      <c r="E90" s="326">
        <f t="shared" si="1"/>
        <v>0</v>
      </c>
      <c r="F90" s="351"/>
      <c r="G90" s="351"/>
      <c r="H90" s="326">
        <v>0</v>
      </c>
    </row>
    <row r="91" spans="1:8" ht="24">
      <c r="A91" s="382">
        <v>7</v>
      </c>
      <c r="B91" s="799">
        <v>630100100202000</v>
      </c>
      <c r="C91" s="320" t="s">
        <v>1998</v>
      </c>
      <c r="D91" s="321" t="s">
        <v>1248</v>
      </c>
      <c r="E91" s="326">
        <f t="shared" si="1"/>
        <v>0</v>
      </c>
      <c r="F91" s="351"/>
      <c r="G91" s="351"/>
      <c r="H91" s="326">
        <v>0</v>
      </c>
    </row>
    <row r="92" spans="1:8">
      <c r="A92" s="393" t="s">
        <v>1969</v>
      </c>
      <c r="B92" s="800" t="s">
        <v>204</v>
      </c>
      <c r="C92" s="316" t="s">
        <v>1278</v>
      </c>
      <c r="D92" s="318" t="s">
        <v>1248</v>
      </c>
      <c r="E92" s="363"/>
      <c r="F92" s="363"/>
      <c r="G92" s="363"/>
      <c r="H92" s="363">
        <v>0</v>
      </c>
    </row>
    <row r="93" spans="1:8" ht="24">
      <c r="A93" s="382" t="s">
        <v>1970</v>
      </c>
      <c r="B93" s="799">
        <v>630100100250000</v>
      </c>
      <c r="C93" s="320" t="s">
        <v>1999</v>
      </c>
      <c r="D93" s="321" t="s">
        <v>1248</v>
      </c>
      <c r="E93" s="326">
        <f t="shared" si="1"/>
        <v>0</v>
      </c>
      <c r="F93" s="351"/>
      <c r="G93" s="351"/>
      <c r="H93" s="326">
        <v>0</v>
      </c>
    </row>
    <row r="94" spans="1:8">
      <c r="A94" s="393" t="s">
        <v>1969</v>
      </c>
      <c r="B94" s="800" t="s">
        <v>205</v>
      </c>
      <c r="C94" s="316" t="s">
        <v>1279</v>
      </c>
      <c r="D94" s="318" t="s">
        <v>1248</v>
      </c>
      <c r="E94" s="363"/>
      <c r="F94" s="363"/>
      <c r="G94" s="363"/>
      <c r="H94" s="363">
        <v>0</v>
      </c>
    </row>
    <row r="95" spans="1:8" ht="24">
      <c r="A95" s="382" t="s">
        <v>1970</v>
      </c>
      <c r="B95" s="799">
        <v>630100100300000</v>
      </c>
      <c r="C95" s="320" t="s">
        <v>2000</v>
      </c>
      <c r="D95" s="321" t="s">
        <v>1248</v>
      </c>
      <c r="E95" s="326">
        <f t="shared" si="1"/>
        <v>0</v>
      </c>
      <c r="F95" s="351"/>
      <c r="G95" s="351"/>
      <c r="H95" s="326">
        <v>0</v>
      </c>
    </row>
    <row r="96" spans="1:8">
      <c r="A96" s="393" t="s">
        <v>1969</v>
      </c>
      <c r="B96" s="800" t="s">
        <v>206</v>
      </c>
      <c r="C96" s="316" t="s">
        <v>1280</v>
      </c>
      <c r="D96" s="318" t="s">
        <v>1248</v>
      </c>
      <c r="E96" s="363"/>
      <c r="F96" s="363"/>
      <c r="G96" s="363"/>
      <c r="H96" s="363">
        <v>0</v>
      </c>
    </row>
    <row r="97" spans="1:8">
      <c r="A97" s="382" t="s">
        <v>1970</v>
      </c>
      <c r="B97" s="799">
        <v>630100100400000</v>
      </c>
      <c r="C97" s="320" t="s">
        <v>2001</v>
      </c>
      <c r="D97" s="321" t="s">
        <v>1248</v>
      </c>
      <c r="E97" s="326">
        <f t="shared" si="1"/>
        <v>0</v>
      </c>
      <c r="F97" s="351"/>
      <c r="G97" s="351"/>
      <c r="H97" s="326">
        <v>0</v>
      </c>
    </row>
    <row r="98" spans="1:8">
      <c r="A98" s="393" t="s">
        <v>1969</v>
      </c>
      <c r="B98" s="800" t="s">
        <v>207</v>
      </c>
      <c r="C98" s="316" t="s">
        <v>1281</v>
      </c>
      <c r="D98" s="318" t="s">
        <v>1248</v>
      </c>
      <c r="E98" s="363"/>
      <c r="F98" s="363"/>
      <c r="G98" s="363"/>
      <c r="H98" s="363">
        <v>0</v>
      </c>
    </row>
    <row r="99" spans="1:8">
      <c r="A99" s="382" t="s">
        <v>1970</v>
      </c>
      <c r="B99" s="799">
        <v>630100100500000</v>
      </c>
      <c r="C99" s="320" t="s">
        <v>2002</v>
      </c>
      <c r="D99" s="321" t="s">
        <v>1248</v>
      </c>
      <c r="E99" s="326">
        <f t="shared" si="1"/>
        <v>0</v>
      </c>
      <c r="F99" s="351"/>
      <c r="G99" s="351"/>
      <c r="H99" s="326">
        <v>0</v>
      </c>
    </row>
    <row r="100" spans="1:8">
      <c r="A100" s="393" t="s">
        <v>1969</v>
      </c>
      <c r="B100" s="800" t="s">
        <v>208</v>
      </c>
      <c r="C100" s="316" t="s">
        <v>1282</v>
      </c>
      <c r="D100" s="318" t="s">
        <v>1248</v>
      </c>
      <c r="E100" s="363"/>
      <c r="F100" s="363"/>
      <c r="G100" s="363"/>
      <c r="H100" s="363">
        <v>0</v>
      </c>
    </row>
    <row r="101" spans="1:8">
      <c r="A101" s="382" t="s">
        <v>1970</v>
      </c>
      <c r="B101" s="799">
        <v>630100100600000</v>
      </c>
      <c r="C101" s="320" t="s">
        <v>2003</v>
      </c>
      <c r="D101" s="321" t="s">
        <v>1248</v>
      </c>
      <c r="E101" s="326">
        <f t="shared" si="1"/>
        <v>0</v>
      </c>
      <c r="F101" s="351"/>
      <c r="G101" s="351"/>
      <c r="H101" s="326">
        <v>0</v>
      </c>
    </row>
    <row r="102" spans="1:8">
      <c r="A102" s="393" t="s">
        <v>1969</v>
      </c>
      <c r="B102" s="800" t="s">
        <v>209</v>
      </c>
      <c r="C102" s="316" t="s">
        <v>1283</v>
      </c>
      <c r="D102" s="318" t="s">
        <v>1248</v>
      </c>
      <c r="E102" s="363"/>
      <c r="F102" s="363"/>
      <c r="G102" s="363"/>
      <c r="H102" s="363">
        <v>0</v>
      </c>
    </row>
    <row r="103" spans="1:8">
      <c r="A103" s="382" t="s">
        <v>1970</v>
      </c>
      <c r="B103" s="799">
        <v>630100100700000</v>
      </c>
      <c r="C103" s="320" t="s">
        <v>2004</v>
      </c>
      <c r="D103" s="321" t="s">
        <v>1248</v>
      </c>
      <c r="E103" s="326">
        <f t="shared" si="1"/>
        <v>0</v>
      </c>
      <c r="F103" s="351"/>
      <c r="G103" s="351"/>
      <c r="H103" s="326">
        <v>0</v>
      </c>
    </row>
    <row r="104" spans="1:8">
      <c r="A104" s="393" t="s">
        <v>1969</v>
      </c>
      <c r="B104" s="800" t="s">
        <v>210</v>
      </c>
      <c r="C104" s="316" t="s">
        <v>1284</v>
      </c>
      <c r="D104" s="318" t="s">
        <v>1248</v>
      </c>
      <c r="E104" s="363"/>
      <c r="F104" s="363"/>
      <c r="G104" s="363"/>
      <c r="H104" s="363">
        <v>0</v>
      </c>
    </row>
    <row r="105" spans="1:8">
      <c r="A105" s="382" t="s">
        <v>1970</v>
      </c>
      <c r="B105" s="799">
        <v>630100100800000</v>
      </c>
      <c r="C105" s="320" t="s">
        <v>2005</v>
      </c>
      <c r="D105" s="321" t="s">
        <v>1248</v>
      </c>
      <c r="E105" s="326">
        <f t="shared" si="1"/>
        <v>0</v>
      </c>
      <c r="F105" s="351"/>
      <c r="G105" s="351"/>
      <c r="H105" s="326">
        <v>0</v>
      </c>
    </row>
    <row r="106" spans="1:8">
      <c r="A106" s="393" t="s">
        <v>1969</v>
      </c>
      <c r="B106" s="800" t="s">
        <v>211</v>
      </c>
      <c r="C106" s="316" t="s">
        <v>1285</v>
      </c>
      <c r="D106" s="318" t="s">
        <v>1248</v>
      </c>
      <c r="E106" s="363"/>
      <c r="F106" s="363"/>
      <c r="G106" s="363"/>
      <c r="H106" s="363">
        <v>0</v>
      </c>
    </row>
    <row r="107" spans="1:8">
      <c r="A107" s="382" t="s">
        <v>1970</v>
      </c>
      <c r="B107" s="799">
        <v>630100100810000</v>
      </c>
      <c r="C107" s="320" t="s">
        <v>2006</v>
      </c>
      <c r="D107" s="321" t="s">
        <v>1248</v>
      </c>
      <c r="E107" s="326">
        <f t="shared" si="1"/>
        <v>0</v>
      </c>
      <c r="F107" s="351"/>
      <c r="G107" s="351"/>
      <c r="H107" s="326">
        <v>0</v>
      </c>
    </row>
    <row r="108" spans="1:8">
      <c r="A108" s="393" t="s">
        <v>1969</v>
      </c>
      <c r="B108" s="800" t="s">
        <v>212</v>
      </c>
      <c r="C108" s="316" t="s">
        <v>1286</v>
      </c>
      <c r="D108" s="318" t="s">
        <v>1248</v>
      </c>
      <c r="E108" s="363"/>
      <c r="F108" s="363"/>
      <c r="G108" s="363"/>
      <c r="H108" s="363">
        <v>0</v>
      </c>
    </row>
    <row r="109" spans="1:8">
      <c r="A109" s="382" t="s">
        <v>1970</v>
      </c>
      <c r="B109" s="799">
        <v>630100100820000</v>
      </c>
      <c r="C109" s="320" t="s">
        <v>2007</v>
      </c>
      <c r="D109" s="321" t="s">
        <v>1248</v>
      </c>
      <c r="E109" s="326">
        <f t="shared" si="1"/>
        <v>0</v>
      </c>
      <c r="F109" s="351"/>
      <c r="G109" s="351"/>
      <c r="H109" s="326">
        <v>0</v>
      </c>
    </row>
    <row r="110" spans="1:8">
      <c r="A110" s="393" t="s">
        <v>1969</v>
      </c>
      <c r="B110" s="800" t="s">
        <v>213</v>
      </c>
      <c r="C110" s="316" t="s">
        <v>1287</v>
      </c>
      <c r="D110" s="318" t="s">
        <v>1248</v>
      </c>
      <c r="E110" s="363"/>
      <c r="F110" s="363"/>
      <c r="G110" s="363"/>
      <c r="H110" s="363">
        <v>0</v>
      </c>
    </row>
    <row r="111" spans="1:8" ht="24">
      <c r="A111" s="382" t="s">
        <v>1970</v>
      </c>
      <c r="B111" s="799">
        <v>630100100830000</v>
      </c>
      <c r="C111" s="320" t="s">
        <v>2008</v>
      </c>
      <c r="D111" s="321" t="s">
        <v>1248</v>
      </c>
      <c r="E111" s="326">
        <f t="shared" si="1"/>
        <v>0</v>
      </c>
      <c r="F111" s="351"/>
      <c r="G111" s="351"/>
      <c r="H111" s="326">
        <v>0</v>
      </c>
    </row>
    <row r="112" spans="1:8">
      <c r="A112" s="393" t="s">
        <v>1969</v>
      </c>
      <c r="B112" s="800" t="s">
        <v>214</v>
      </c>
      <c r="C112" s="316" t="s">
        <v>1288</v>
      </c>
      <c r="D112" s="318" t="s">
        <v>1248</v>
      </c>
      <c r="E112" s="363"/>
      <c r="F112" s="363"/>
      <c r="G112" s="363"/>
      <c r="H112" s="363">
        <v>0</v>
      </c>
    </row>
    <row r="113" spans="1:8" ht="24">
      <c r="A113" s="382" t="s">
        <v>1970</v>
      </c>
      <c r="B113" s="799">
        <v>630100100840000</v>
      </c>
      <c r="C113" s="320" t="s">
        <v>2009</v>
      </c>
      <c r="D113" s="321" t="s">
        <v>1248</v>
      </c>
      <c r="E113" s="326">
        <f t="shared" si="1"/>
        <v>0</v>
      </c>
      <c r="F113" s="351"/>
      <c r="G113" s="351"/>
      <c r="H113" s="326">
        <v>0</v>
      </c>
    </row>
    <row r="114" spans="1:8">
      <c r="A114" s="393" t="s">
        <v>1969</v>
      </c>
      <c r="B114" s="800" t="s">
        <v>215</v>
      </c>
      <c r="C114" s="316" t="s">
        <v>1289</v>
      </c>
      <c r="D114" s="318" t="s">
        <v>1248</v>
      </c>
      <c r="E114" s="363"/>
      <c r="F114" s="363"/>
      <c r="G114" s="363"/>
      <c r="H114" s="363">
        <v>0</v>
      </c>
    </row>
    <row r="115" spans="1:8">
      <c r="A115" s="382" t="s">
        <v>1970</v>
      </c>
      <c r="B115" s="799">
        <v>630100100850000</v>
      </c>
      <c r="C115" s="320" t="s">
        <v>2010</v>
      </c>
      <c r="D115" s="321" t="s">
        <v>1248</v>
      </c>
      <c r="E115" s="326">
        <f t="shared" si="1"/>
        <v>0</v>
      </c>
      <c r="F115" s="351"/>
      <c r="G115" s="351"/>
      <c r="H115" s="326">
        <v>0</v>
      </c>
    </row>
    <row r="116" spans="1:8">
      <c r="A116" s="393" t="s">
        <v>1969</v>
      </c>
      <c r="B116" s="800" t="s">
        <v>216</v>
      </c>
      <c r="C116" s="316" t="s">
        <v>1290</v>
      </c>
      <c r="D116" s="318" t="s">
        <v>1248</v>
      </c>
      <c r="E116" s="363"/>
      <c r="F116" s="363"/>
      <c r="G116" s="363"/>
      <c r="H116" s="363">
        <v>0</v>
      </c>
    </row>
    <row r="117" spans="1:8">
      <c r="A117" s="382">
        <v>7</v>
      </c>
      <c r="B117" s="799">
        <v>630100100911000</v>
      </c>
      <c r="C117" s="320" t="s">
        <v>2011</v>
      </c>
      <c r="D117" s="321" t="s">
        <v>1248</v>
      </c>
      <c r="E117" s="326">
        <f t="shared" si="1"/>
        <v>0</v>
      </c>
      <c r="F117" s="351"/>
      <c r="G117" s="351"/>
      <c r="H117" s="326">
        <v>599.41999999999996</v>
      </c>
    </row>
    <row r="118" spans="1:8" ht="24">
      <c r="A118" s="382">
        <v>7</v>
      </c>
      <c r="B118" s="799">
        <v>630100100909000</v>
      </c>
      <c r="C118" s="320" t="s">
        <v>2012</v>
      </c>
      <c r="D118" s="321" t="s">
        <v>1248</v>
      </c>
      <c r="E118" s="326">
        <f t="shared" si="1"/>
        <v>0</v>
      </c>
      <c r="F118" s="351"/>
      <c r="G118" s="351"/>
      <c r="H118" s="326">
        <v>0</v>
      </c>
    </row>
    <row r="119" spans="1:8" ht="25.5">
      <c r="A119" s="393" t="s">
        <v>1967</v>
      </c>
      <c r="B119" s="800" t="s">
        <v>218</v>
      </c>
      <c r="C119" s="316" t="s">
        <v>2013</v>
      </c>
      <c r="D119" s="318"/>
      <c r="E119" s="363"/>
      <c r="F119" s="363"/>
      <c r="G119" s="363"/>
      <c r="H119" s="363">
        <v>0</v>
      </c>
    </row>
    <row r="120" spans="1:8" ht="24">
      <c r="A120" s="382" t="s">
        <v>1969</v>
      </c>
      <c r="B120" s="799">
        <v>630100200000000</v>
      </c>
      <c r="C120" s="320" t="s">
        <v>217</v>
      </c>
      <c r="D120" s="321"/>
      <c r="E120" s="326">
        <f t="shared" si="1"/>
        <v>7006</v>
      </c>
      <c r="F120" s="351">
        <v>7006</v>
      </c>
      <c r="G120" s="351"/>
      <c r="H120" s="326">
        <v>10893</v>
      </c>
    </row>
    <row r="121" spans="1:8" ht="25.5">
      <c r="A121" s="393" t="s">
        <v>1967</v>
      </c>
      <c r="B121" s="800" t="s">
        <v>219</v>
      </c>
      <c r="C121" s="316" t="s">
        <v>1292</v>
      </c>
      <c r="D121" s="318"/>
      <c r="E121" s="363"/>
      <c r="F121" s="363"/>
      <c r="G121" s="363"/>
      <c r="H121" s="363">
        <v>0</v>
      </c>
    </row>
    <row r="122" spans="1:8">
      <c r="A122" s="393" t="s">
        <v>1969</v>
      </c>
      <c r="B122" s="800" t="s">
        <v>220</v>
      </c>
      <c r="C122" s="316" t="s">
        <v>1294</v>
      </c>
      <c r="D122" s="318"/>
      <c r="E122" s="363"/>
      <c r="F122" s="363"/>
      <c r="G122" s="363"/>
      <c r="H122" s="363">
        <v>0</v>
      </c>
    </row>
    <row r="123" spans="1:8">
      <c r="A123" s="382">
        <v>7</v>
      </c>
      <c r="B123" s="799">
        <v>630100300100000</v>
      </c>
      <c r="C123" s="320" t="s">
        <v>221</v>
      </c>
      <c r="D123" s="321"/>
      <c r="E123" s="326">
        <f t="shared" si="1"/>
        <v>0</v>
      </c>
      <c r="F123" s="351"/>
      <c r="G123" s="351"/>
      <c r="H123" s="326">
        <v>0</v>
      </c>
    </row>
    <row r="124" spans="1:8">
      <c r="A124" s="393" t="s">
        <v>1969</v>
      </c>
      <c r="B124" s="800" t="s">
        <v>223</v>
      </c>
      <c r="C124" s="316" t="s">
        <v>1295</v>
      </c>
      <c r="D124" s="318"/>
      <c r="E124" s="363"/>
      <c r="F124" s="363"/>
      <c r="G124" s="363"/>
      <c r="H124" s="363">
        <v>0</v>
      </c>
    </row>
    <row r="125" spans="1:8">
      <c r="A125" s="382">
        <v>7</v>
      </c>
      <c r="B125" s="799">
        <v>630100300150000</v>
      </c>
      <c r="C125" s="320" t="s">
        <v>224</v>
      </c>
      <c r="D125" s="321"/>
      <c r="E125" s="326">
        <f t="shared" si="1"/>
        <v>0</v>
      </c>
      <c r="F125" s="351"/>
      <c r="G125" s="351"/>
      <c r="H125" s="326">
        <v>0</v>
      </c>
    </row>
    <row r="126" spans="1:8">
      <c r="A126" s="393" t="s">
        <v>1969</v>
      </c>
      <c r="B126" s="800" t="s">
        <v>225</v>
      </c>
      <c r="C126" s="316" t="s">
        <v>1296</v>
      </c>
      <c r="D126" s="318"/>
      <c r="E126" s="363"/>
      <c r="F126" s="363"/>
      <c r="G126" s="363"/>
      <c r="H126" s="363">
        <v>0</v>
      </c>
    </row>
    <row r="127" spans="1:8" ht="24">
      <c r="A127" s="382" t="s">
        <v>1970</v>
      </c>
      <c r="B127" s="799">
        <v>630100300160000</v>
      </c>
      <c r="C127" s="320" t="s">
        <v>2014</v>
      </c>
      <c r="D127" s="321"/>
      <c r="E127" s="326">
        <f t="shared" si="1"/>
        <v>0</v>
      </c>
      <c r="F127" s="351"/>
      <c r="G127" s="351"/>
      <c r="H127" s="326">
        <v>0</v>
      </c>
    </row>
    <row r="128" spans="1:8" ht="25.5">
      <c r="A128" s="393" t="s">
        <v>1969</v>
      </c>
      <c r="B128" s="800" t="s">
        <v>226</v>
      </c>
      <c r="C128" s="316" t="s">
        <v>1298</v>
      </c>
      <c r="D128" s="318"/>
      <c r="E128" s="363"/>
      <c r="F128" s="363"/>
      <c r="G128" s="363"/>
      <c r="H128" s="363">
        <v>0</v>
      </c>
    </row>
    <row r="129" spans="1:8" ht="24">
      <c r="A129" s="382" t="s">
        <v>1970</v>
      </c>
      <c r="B129" s="799">
        <v>630100300200000</v>
      </c>
      <c r="C129" s="320" t="s">
        <v>2015</v>
      </c>
      <c r="D129" s="321"/>
      <c r="E129" s="326">
        <f t="shared" si="1"/>
        <v>0</v>
      </c>
      <c r="F129" s="351"/>
      <c r="G129" s="351"/>
      <c r="H129" s="326">
        <v>0</v>
      </c>
    </row>
    <row r="130" spans="1:8">
      <c r="A130" s="393" t="s">
        <v>1969</v>
      </c>
      <c r="B130" s="800" t="s">
        <v>227</v>
      </c>
      <c r="C130" s="316" t="s">
        <v>1299</v>
      </c>
      <c r="D130" s="318"/>
      <c r="E130" s="363"/>
      <c r="F130" s="363"/>
      <c r="G130" s="363"/>
      <c r="H130" s="363">
        <v>0</v>
      </c>
    </row>
    <row r="131" spans="1:8">
      <c r="A131" s="382" t="s">
        <v>1970</v>
      </c>
      <c r="B131" s="799">
        <v>630100300250000</v>
      </c>
      <c r="C131" s="320" t="s">
        <v>2016</v>
      </c>
      <c r="D131" s="321"/>
      <c r="E131" s="326">
        <f t="shared" si="1"/>
        <v>0</v>
      </c>
      <c r="F131" s="351"/>
      <c r="G131" s="351"/>
      <c r="H131" s="326">
        <v>0</v>
      </c>
    </row>
    <row r="132" spans="1:8">
      <c r="A132" s="393" t="s">
        <v>1969</v>
      </c>
      <c r="B132" s="800" t="s">
        <v>229</v>
      </c>
      <c r="C132" s="316" t="s">
        <v>1300</v>
      </c>
      <c r="D132" s="318"/>
      <c r="E132" s="363"/>
      <c r="F132" s="363"/>
      <c r="G132" s="363"/>
      <c r="H132" s="363">
        <v>0</v>
      </c>
    </row>
    <row r="133" spans="1:8">
      <c r="A133" s="382" t="s">
        <v>1970</v>
      </c>
      <c r="B133" s="799">
        <v>630100300300000</v>
      </c>
      <c r="C133" s="320" t="s">
        <v>228</v>
      </c>
      <c r="D133" s="321"/>
      <c r="E133" s="326">
        <f t="shared" si="1"/>
        <v>0</v>
      </c>
      <c r="F133" s="351"/>
      <c r="G133" s="351"/>
      <c r="H133" s="326">
        <v>0</v>
      </c>
    </row>
    <row r="134" spans="1:8">
      <c r="A134" s="393" t="s">
        <v>1969</v>
      </c>
      <c r="B134" s="800" t="s">
        <v>231</v>
      </c>
      <c r="C134" s="316" t="s">
        <v>1301</v>
      </c>
      <c r="D134" s="318"/>
      <c r="E134" s="363"/>
      <c r="F134" s="363"/>
      <c r="G134" s="363"/>
      <c r="H134" s="363">
        <v>0</v>
      </c>
    </row>
    <row r="135" spans="1:8">
      <c r="A135" s="382" t="s">
        <v>1970</v>
      </c>
      <c r="B135" s="799">
        <v>630100300350000</v>
      </c>
      <c r="C135" s="320" t="s">
        <v>230</v>
      </c>
      <c r="D135" s="321"/>
      <c r="E135" s="326">
        <f t="shared" si="1"/>
        <v>0</v>
      </c>
      <c r="F135" s="351"/>
      <c r="G135" s="351"/>
      <c r="H135" s="326">
        <v>0</v>
      </c>
    </row>
    <row r="136" spans="1:8">
      <c r="A136" s="393" t="s">
        <v>1969</v>
      </c>
      <c r="B136" s="800" t="s">
        <v>233</v>
      </c>
      <c r="C136" s="316" t="s">
        <v>1302</v>
      </c>
      <c r="D136" s="318"/>
      <c r="E136" s="363"/>
      <c r="F136" s="363"/>
      <c r="G136" s="363"/>
      <c r="H136" s="363">
        <v>0</v>
      </c>
    </row>
    <row r="137" spans="1:8">
      <c r="A137" s="382" t="s">
        <v>1970</v>
      </c>
      <c r="B137" s="799">
        <v>630100300400000</v>
      </c>
      <c r="C137" s="320" t="s">
        <v>232</v>
      </c>
      <c r="D137" s="321"/>
      <c r="E137" s="326">
        <f t="shared" ref="E137:E198" si="2">+F137+G137</f>
        <v>0</v>
      </c>
      <c r="F137" s="351"/>
      <c r="G137" s="351"/>
      <c r="H137" s="326">
        <v>0</v>
      </c>
    </row>
    <row r="138" spans="1:8">
      <c r="A138" s="393" t="s">
        <v>1969</v>
      </c>
      <c r="B138" s="800" t="s">
        <v>235</v>
      </c>
      <c r="C138" s="316" t="s">
        <v>1303</v>
      </c>
      <c r="D138" s="318"/>
      <c r="E138" s="363"/>
      <c r="F138" s="363"/>
      <c r="G138" s="363"/>
      <c r="H138" s="363">
        <v>0</v>
      </c>
    </row>
    <row r="139" spans="1:8">
      <c r="A139" s="382" t="s">
        <v>1970</v>
      </c>
      <c r="B139" s="799">
        <v>630100300450000</v>
      </c>
      <c r="C139" s="320" t="s">
        <v>234</v>
      </c>
      <c r="D139" s="321"/>
      <c r="E139" s="326">
        <f t="shared" si="2"/>
        <v>0</v>
      </c>
      <c r="F139" s="351"/>
      <c r="G139" s="351"/>
      <c r="H139" s="326">
        <v>0</v>
      </c>
    </row>
    <row r="140" spans="1:8">
      <c r="A140" s="393" t="s">
        <v>1969</v>
      </c>
      <c r="B140" s="800" t="s">
        <v>237</v>
      </c>
      <c r="C140" s="316" t="s">
        <v>1304</v>
      </c>
      <c r="D140" s="318"/>
      <c r="E140" s="363"/>
      <c r="F140" s="363"/>
      <c r="G140" s="363"/>
      <c r="H140" s="363">
        <v>0</v>
      </c>
    </row>
    <row r="141" spans="1:8">
      <c r="A141" s="382" t="s">
        <v>1970</v>
      </c>
      <c r="B141" s="799">
        <v>630100300510000</v>
      </c>
      <c r="C141" s="320" t="s">
        <v>236</v>
      </c>
      <c r="D141" s="321"/>
      <c r="E141" s="326">
        <f t="shared" si="2"/>
        <v>0</v>
      </c>
      <c r="F141" s="351"/>
      <c r="G141" s="351"/>
      <c r="H141" s="326">
        <v>0</v>
      </c>
    </row>
    <row r="142" spans="1:8">
      <c r="A142" s="393" t="s">
        <v>1969</v>
      </c>
      <c r="B142" s="800" t="s">
        <v>239</v>
      </c>
      <c r="C142" s="316" t="s">
        <v>1305</v>
      </c>
      <c r="D142" s="318"/>
      <c r="E142" s="363"/>
      <c r="F142" s="363"/>
      <c r="G142" s="363"/>
      <c r="H142" s="363">
        <v>0</v>
      </c>
    </row>
    <row r="143" spans="1:8">
      <c r="A143" s="382" t="s">
        <v>1970</v>
      </c>
      <c r="B143" s="799">
        <v>630100300520000</v>
      </c>
      <c r="C143" s="320" t="s">
        <v>238</v>
      </c>
      <c r="D143" s="321"/>
      <c r="E143" s="326">
        <f t="shared" si="2"/>
        <v>0</v>
      </c>
      <c r="F143" s="351"/>
      <c r="G143" s="351"/>
      <c r="H143" s="326">
        <v>0</v>
      </c>
    </row>
    <row r="144" spans="1:8">
      <c r="A144" s="393" t="s">
        <v>1969</v>
      </c>
      <c r="B144" s="800" t="s">
        <v>241</v>
      </c>
      <c r="C144" s="316" t="s">
        <v>1306</v>
      </c>
      <c r="D144" s="318"/>
      <c r="E144" s="363"/>
      <c r="F144" s="363"/>
      <c r="G144" s="363"/>
      <c r="H144" s="363">
        <v>0</v>
      </c>
    </row>
    <row r="145" spans="1:8">
      <c r="A145" s="382" t="s">
        <v>1970</v>
      </c>
      <c r="B145" s="799">
        <v>630100300550000</v>
      </c>
      <c r="C145" s="320" t="s">
        <v>240</v>
      </c>
      <c r="D145" s="321"/>
      <c r="E145" s="326">
        <f t="shared" si="2"/>
        <v>0</v>
      </c>
      <c r="F145" s="351"/>
      <c r="G145" s="351"/>
      <c r="H145" s="326">
        <v>0</v>
      </c>
    </row>
    <row r="146" spans="1:8">
      <c r="A146" s="393" t="s">
        <v>1969</v>
      </c>
      <c r="B146" s="800" t="s">
        <v>242</v>
      </c>
      <c r="C146" s="316" t="s">
        <v>1307</v>
      </c>
      <c r="D146" s="318"/>
      <c r="E146" s="363"/>
      <c r="F146" s="363"/>
      <c r="G146" s="363"/>
      <c r="H146" s="363">
        <v>0</v>
      </c>
    </row>
    <row r="147" spans="1:8">
      <c r="A147" s="382" t="s">
        <v>2017</v>
      </c>
      <c r="B147" s="799">
        <v>630100300600000</v>
      </c>
      <c r="C147" s="320" t="s">
        <v>243</v>
      </c>
      <c r="D147" s="321"/>
      <c r="E147" s="326">
        <f t="shared" si="2"/>
        <v>0</v>
      </c>
      <c r="F147" s="351"/>
      <c r="G147" s="351"/>
      <c r="H147" s="326">
        <v>0</v>
      </c>
    </row>
    <row r="148" spans="1:8" ht="25.5">
      <c r="A148" s="393" t="s">
        <v>1969</v>
      </c>
      <c r="B148" s="800" t="s">
        <v>245</v>
      </c>
      <c r="C148" s="316" t="s">
        <v>1308</v>
      </c>
      <c r="D148" s="318"/>
      <c r="E148" s="363"/>
      <c r="F148" s="363"/>
      <c r="G148" s="363"/>
      <c r="H148" s="363">
        <v>0</v>
      </c>
    </row>
    <row r="149" spans="1:8" ht="24">
      <c r="A149" s="382" t="s">
        <v>2017</v>
      </c>
      <c r="B149" s="799">
        <v>630100300610000</v>
      </c>
      <c r="C149" s="320" t="s">
        <v>244</v>
      </c>
      <c r="D149" s="321"/>
      <c r="E149" s="326">
        <f t="shared" si="2"/>
        <v>0</v>
      </c>
      <c r="F149" s="351"/>
      <c r="G149" s="351"/>
      <c r="H149" s="326">
        <v>0</v>
      </c>
    </row>
    <row r="150" spans="1:8" ht="25.5">
      <c r="A150" s="393" t="s">
        <v>1969</v>
      </c>
      <c r="B150" s="800" t="s">
        <v>246</v>
      </c>
      <c r="C150" s="316" t="s">
        <v>1309</v>
      </c>
      <c r="D150" s="318"/>
      <c r="E150" s="363"/>
      <c r="F150" s="363"/>
      <c r="G150" s="363"/>
      <c r="H150" s="363">
        <v>0</v>
      </c>
    </row>
    <row r="151" spans="1:8" ht="25.5">
      <c r="A151" s="393" t="s">
        <v>1970</v>
      </c>
      <c r="B151" s="800" t="s">
        <v>248</v>
      </c>
      <c r="C151" s="316" t="s">
        <v>1310</v>
      </c>
      <c r="D151" s="318"/>
      <c r="E151" s="363"/>
      <c r="F151" s="363"/>
      <c r="G151" s="363"/>
      <c r="H151" s="363">
        <v>0</v>
      </c>
    </row>
    <row r="152" spans="1:8">
      <c r="A152" s="382" t="s">
        <v>2017</v>
      </c>
      <c r="B152" s="799">
        <v>630100300651000</v>
      </c>
      <c r="C152" s="320" t="s">
        <v>247</v>
      </c>
      <c r="D152" s="321"/>
      <c r="E152" s="326">
        <f t="shared" si="2"/>
        <v>0</v>
      </c>
      <c r="F152" s="351"/>
      <c r="G152" s="351"/>
      <c r="H152" s="326">
        <v>0</v>
      </c>
    </row>
    <row r="153" spans="1:8" ht="25.5">
      <c r="A153" s="393" t="s">
        <v>1970</v>
      </c>
      <c r="B153" s="800" t="s">
        <v>250</v>
      </c>
      <c r="C153" s="316" t="s">
        <v>1311</v>
      </c>
      <c r="D153" s="318"/>
      <c r="E153" s="363"/>
      <c r="F153" s="363"/>
      <c r="G153" s="363"/>
      <c r="H153" s="363">
        <v>0</v>
      </c>
    </row>
    <row r="154" spans="1:8">
      <c r="A154" s="382">
        <v>8</v>
      </c>
      <c r="B154" s="799">
        <v>630100300652010</v>
      </c>
      <c r="C154" s="320" t="s">
        <v>2018</v>
      </c>
      <c r="D154" s="321"/>
      <c r="E154" s="326">
        <f t="shared" si="2"/>
        <v>0</v>
      </c>
      <c r="F154" s="351"/>
      <c r="G154" s="351"/>
      <c r="H154" s="326">
        <v>0</v>
      </c>
    </row>
    <row r="155" spans="1:8">
      <c r="A155" s="382">
        <v>8</v>
      </c>
      <c r="B155" s="799">
        <v>630100300652020</v>
      </c>
      <c r="C155" s="320" t="s">
        <v>2019</v>
      </c>
      <c r="D155" s="321"/>
      <c r="E155" s="326">
        <f t="shared" si="2"/>
        <v>0</v>
      </c>
      <c r="F155" s="351"/>
      <c r="G155" s="351"/>
      <c r="H155" s="326">
        <v>0</v>
      </c>
    </row>
    <row r="156" spans="1:8">
      <c r="A156" s="382">
        <v>8</v>
      </c>
      <c r="B156" s="801">
        <v>630100300652030</v>
      </c>
      <c r="C156" s="320" t="s">
        <v>2020</v>
      </c>
      <c r="D156" s="321"/>
      <c r="E156" s="326">
        <f t="shared" si="2"/>
        <v>0</v>
      </c>
      <c r="F156" s="351"/>
      <c r="G156" s="351"/>
      <c r="H156" s="326">
        <v>0</v>
      </c>
    </row>
    <row r="157" spans="1:8" ht="24">
      <c r="A157" s="382">
        <v>8</v>
      </c>
      <c r="B157" s="799">
        <v>630100300652040</v>
      </c>
      <c r="C157" s="320" t="s">
        <v>249</v>
      </c>
      <c r="D157" s="321"/>
      <c r="E157" s="326">
        <f t="shared" si="2"/>
        <v>0</v>
      </c>
      <c r="F157" s="351"/>
      <c r="G157" s="351"/>
      <c r="H157" s="326">
        <v>0</v>
      </c>
    </row>
    <row r="158" spans="1:8" ht="25.5">
      <c r="A158" s="393" t="s">
        <v>1969</v>
      </c>
      <c r="B158" s="800" t="s">
        <v>252</v>
      </c>
      <c r="C158" s="316" t="s">
        <v>1312</v>
      </c>
      <c r="D158" s="318"/>
      <c r="E158" s="363"/>
      <c r="F158" s="363"/>
      <c r="G158" s="363"/>
      <c r="H158" s="363">
        <v>0</v>
      </c>
    </row>
    <row r="159" spans="1:8">
      <c r="A159" s="382" t="s">
        <v>1970</v>
      </c>
      <c r="B159" s="799">
        <v>630100300700000</v>
      </c>
      <c r="C159" s="320" t="s">
        <v>251</v>
      </c>
      <c r="D159" s="321"/>
      <c r="E159" s="326">
        <f t="shared" si="2"/>
        <v>0</v>
      </c>
      <c r="F159" s="351"/>
      <c r="G159" s="351"/>
      <c r="H159" s="326">
        <v>0</v>
      </c>
    </row>
    <row r="160" spans="1:8" ht="25.5">
      <c r="A160" s="393" t="s">
        <v>1969</v>
      </c>
      <c r="B160" s="800" t="s">
        <v>254</v>
      </c>
      <c r="C160" s="316" t="s">
        <v>1313</v>
      </c>
      <c r="D160" s="318"/>
      <c r="E160" s="363"/>
      <c r="F160" s="363"/>
      <c r="G160" s="363"/>
      <c r="H160" s="363">
        <v>0</v>
      </c>
    </row>
    <row r="161" spans="1:8" ht="24">
      <c r="A161" s="382" t="s">
        <v>1970</v>
      </c>
      <c r="B161" s="799">
        <v>630100300800000</v>
      </c>
      <c r="C161" s="320" t="s">
        <v>253</v>
      </c>
      <c r="D161" s="321" t="s">
        <v>1248</v>
      </c>
      <c r="E161" s="326">
        <f t="shared" si="2"/>
        <v>0</v>
      </c>
      <c r="F161" s="351"/>
      <c r="G161" s="351"/>
      <c r="H161" s="326">
        <v>0</v>
      </c>
    </row>
    <row r="162" spans="1:8" ht="25.5">
      <c r="A162" s="393" t="s">
        <v>1969</v>
      </c>
      <c r="B162" s="800" t="s">
        <v>256</v>
      </c>
      <c r="C162" s="316" t="s">
        <v>1314</v>
      </c>
      <c r="D162" s="318"/>
      <c r="E162" s="363"/>
      <c r="F162" s="363"/>
      <c r="G162" s="363"/>
      <c r="H162" s="363">
        <v>0</v>
      </c>
    </row>
    <row r="163" spans="1:8" ht="24">
      <c r="A163" s="382" t="s">
        <v>1970</v>
      </c>
      <c r="B163" s="799">
        <v>630100300900000</v>
      </c>
      <c r="C163" s="320" t="s">
        <v>255</v>
      </c>
      <c r="D163" s="321"/>
      <c r="E163" s="326">
        <f t="shared" si="2"/>
        <v>0</v>
      </c>
      <c r="F163" s="351"/>
      <c r="G163" s="351"/>
      <c r="H163" s="326">
        <v>0</v>
      </c>
    </row>
    <row r="164" spans="1:8" ht="25.5">
      <c r="A164" s="393" t="s">
        <v>1965</v>
      </c>
      <c r="B164" s="800" t="s">
        <v>257</v>
      </c>
      <c r="C164" s="316" t="s">
        <v>2021</v>
      </c>
      <c r="D164" s="318"/>
      <c r="E164" s="363"/>
      <c r="F164" s="363"/>
      <c r="G164" s="363"/>
      <c r="H164" s="363">
        <v>0</v>
      </c>
    </row>
    <row r="165" spans="1:8" ht="25.5">
      <c r="A165" s="393" t="s">
        <v>1967</v>
      </c>
      <c r="B165" s="800" t="s">
        <v>259</v>
      </c>
      <c r="C165" s="316" t="s">
        <v>2022</v>
      </c>
      <c r="D165" s="318"/>
      <c r="E165" s="363"/>
      <c r="F165" s="363"/>
      <c r="G165" s="363"/>
      <c r="H165" s="363">
        <v>0</v>
      </c>
    </row>
    <row r="166" spans="1:8">
      <c r="A166" s="382" t="s">
        <v>1969</v>
      </c>
      <c r="B166" s="799">
        <v>630200100000000</v>
      </c>
      <c r="C166" s="320" t="s">
        <v>258</v>
      </c>
      <c r="D166" s="321"/>
      <c r="E166" s="326">
        <f t="shared" si="2"/>
        <v>0</v>
      </c>
      <c r="F166" s="351"/>
      <c r="G166" s="351"/>
      <c r="H166" s="326">
        <v>0</v>
      </c>
    </row>
    <row r="167" spans="1:8" ht="25.5">
      <c r="A167" s="393" t="s">
        <v>1967</v>
      </c>
      <c r="B167" s="800" t="s">
        <v>261</v>
      </c>
      <c r="C167" s="316" t="s">
        <v>2023</v>
      </c>
      <c r="D167" s="318"/>
      <c r="E167" s="363"/>
      <c r="F167" s="363"/>
      <c r="G167" s="363"/>
      <c r="H167" s="363">
        <v>0</v>
      </c>
    </row>
    <row r="168" spans="1:8">
      <c r="A168" s="382" t="s">
        <v>1969</v>
      </c>
      <c r="B168" s="799">
        <v>630200200000000</v>
      </c>
      <c r="C168" s="320" t="s">
        <v>260</v>
      </c>
      <c r="D168" s="321"/>
      <c r="E168" s="326">
        <f t="shared" si="2"/>
        <v>0</v>
      </c>
      <c r="F168" s="351"/>
      <c r="G168" s="351"/>
      <c r="H168" s="326">
        <v>0</v>
      </c>
    </row>
    <row r="169" spans="1:8" ht="25.5">
      <c r="A169" s="393" t="s">
        <v>1967</v>
      </c>
      <c r="B169" s="800" t="s">
        <v>262</v>
      </c>
      <c r="C169" s="316" t="s">
        <v>2024</v>
      </c>
      <c r="D169" s="318"/>
      <c r="E169" s="363"/>
      <c r="F169" s="363"/>
      <c r="G169" s="363"/>
      <c r="H169" s="363">
        <v>0</v>
      </c>
    </row>
    <row r="170" spans="1:8" ht="24">
      <c r="A170" s="382" t="s">
        <v>1969</v>
      </c>
      <c r="B170" s="799">
        <v>630200250000000</v>
      </c>
      <c r="C170" s="320" t="s">
        <v>2025</v>
      </c>
      <c r="D170" s="321"/>
      <c r="E170" s="326">
        <f t="shared" si="2"/>
        <v>0</v>
      </c>
      <c r="F170" s="351"/>
      <c r="G170" s="351"/>
      <c r="H170" s="326">
        <v>0</v>
      </c>
    </row>
    <row r="171" spans="1:8" ht="25.5">
      <c r="A171" s="393" t="s">
        <v>1967</v>
      </c>
      <c r="B171" s="800" t="s">
        <v>264</v>
      </c>
      <c r="C171" s="316" t="s">
        <v>2026</v>
      </c>
      <c r="D171" s="318"/>
      <c r="E171" s="363"/>
      <c r="F171" s="363"/>
      <c r="G171" s="363"/>
      <c r="H171" s="363">
        <v>0</v>
      </c>
    </row>
    <row r="172" spans="1:8">
      <c r="A172" s="382" t="s">
        <v>1969</v>
      </c>
      <c r="B172" s="799">
        <v>630200300000000</v>
      </c>
      <c r="C172" s="320" t="s">
        <v>263</v>
      </c>
      <c r="D172" s="321"/>
      <c r="E172" s="326">
        <f t="shared" si="2"/>
        <v>0</v>
      </c>
      <c r="F172" s="351"/>
      <c r="G172" s="351"/>
      <c r="H172" s="326">
        <v>0</v>
      </c>
    </row>
    <row r="173" spans="1:8" ht="25.5">
      <c r="A173" s="393" t="s">
        <v>1967</v>
      </c>
      <c r="B173" s="800" t="s">
        <v>266</v>
      </c>
      <c r="C173" s="316" t="s">
        <v>1320</v>
      </c>
      <c r="D173" s="318"/>
      <c r="E173" s="363"/>
      <c r="F173" s="363"/>
      <c r="G173" s="363"/>
      <c r="H173" s="363">
        <v>0</v>
      </c>
    </row>
    <row r="174" spans="1:8" ht="24">
      <c r="A174" s="382" t="s">
        <v>1969</v>
      </c>
      <c r="B174" s="799">
        <v>630200400000000</v>
      </c>
      <c r="C174" s="320" t="s">
        <v>265</v>
      </c>
      <c r="D174" s="321"/>
      <c r="E174" s="326">
        <f t="shared" si="2"/>
        <v>0</v>
      </c>
      <c r="F174" s="351"/>
      <c r="G174" s="351"/>
      <c r="H174" s="326">
        <v>0</v>
      </c>
    </row>
    <row r="175" spans="1:8" ht="25.5">
      <c r="A175" s="393" t="s">
        <v>1965</v>
      </c>
      <c r="B175" s="800" t="s">
        <v>267</v>
      </c>
      <c r="C175" s="316" t="s">
        <v>2027</v>
      </c>
      <c r="D175" s="318"/>
      <c r="E175" s="363"/>
      <c r="F175" s="363"/>
      <c r="G175" s="363"/>
      <c r="H175" s="363">
        <v>0</v>
      </c>
    </row>
    <row r="176" spans="1:8">
      <c r="A176" s="394">
        <v>5</v>
      </c>
      <c r="B176" s="802">
        <v>6303001000000</v>
      </c>
      <c r="C176" s="323" t="s">
        <v>268</v>
      </c>
      <c r="D176" s="324"/>
      <c r="E176" s="327"/>
      <c r="F176" s="352"/>
      <c r="G176" s="352"/>
      <c r="H176" s="327">
        <v>0</v>
      </c>
    </row>
    <row r="177" spans="1:8">
      <c r="A177" s="382" t="s">
        <v>1969</v>
      </c>
      <c r="B177" s="799">
        <v>630300100100000</v>
      </c>
      <c r="C177" s="320" t="s">
        <v>199</v>
      </c>
      <c r="D177" s="321"/>
      <c r="E177" s="326">
        <f t="shared" si="2"/>
        <v>0</v>
      </c>
      <c r="F177" s="351"/>
      <c r="G177" s="351"/>
      <c r="H177" s="326">
        <v>0</v>
      </c>
    </row>
    <row r="178" spans="1:8">
      <c r="A178" s="382" t="s">
        <v>1969</v>
      </c>
      <c r="B178" s="799">
        <v>630300100200000</v>
      </c>
      <c r="C178" s="320" t="s">
        <v>269</v>
      </c>
      <c r="D178" s="321"/>
      <c r="E178" s="326">
        <f t="shared" si="2"/>
        <v>0</v>
      </c>
      <c r="F178" s="351"/>
      <c r="G178" s="351"/>
      <c r="H178" s="326">
        <v>0</v>
      </c>
    </row>
    <row r="179" spans="1:8">
      <c r="A179" s="382" t="s">
        <v>1969</v>
      </c>
      <c r="B179" s="799">
        <v>630300100300000</v>
      </c>
      <c r="C179" s="320" t="s">
        <v>270</v>
      </c>
      <c r="D179" s="321"/>
      <c r="E179" s="326">
        <f t="shared" si="2"/>
        <v>0</v>
      </c>
      <c r="F179" s="351"/>
      <c r="G179" s="351"/>
      <c r="H179" s="326">
        <v>0</v>
      </c>
    </row>
    <row r="180" spans="1:8">
      <c r="A180" s="382" t="s">
        <v>1969</v>
      </c>
      <c r="B180" s="799">
        <v>630300100400000</v>
      </c>
      <c r="C180" s="320" t="s">
        <v>222</v>
      </c>
      <c r="D180" s="321"/>
      <c r="E180" s="326">
        <f t="shared" si="2"/>
        <v>0</v>
      </c>
      <c r="F180" s="351"/>
      <c r="G180" s="351"/>
      <c r="H180" s="326">
        <v>0</v>
      </c>
    </row>
    <row r="181" spans="1:8">
      <c r="A181" s="382" t="s">
        <v>1969</v>
      </c>
      <c r="B181" s="799">
        <v>630300100500000</v>
      </c>
      <c r="C181" s="320" t="s">
        <v>271</v>
      </c>
      <c r="D181" s="321"/>
      <c r="E181" s="326">
        <f t="shared" si="2"/>
        <v>0</v>
      </c>
      <c r="F181" s="351"/>
      <c r="G181" s="351"/>
      <c r="H181" s="326">
        <v>0</v>
      </c>
    </row>
    <row r="182" spans="1:8">
      <c r="A182" s="382" t="s">
        <v>1969</v>
      </c>
      <c r="B182" s="799">
        <v>630300100600000</v>
      </c>
      <c r="C182" s="320" t="s">
        <v>272</v>
      </c>
      <c r="D182" s="321"/>
      <c r="E182" s="326">
        <f t="shared" si="2"/>
        <v>0</v>
      </c>
      <c r="F182" s="351"/>
      <c r="G182" s="351"/>
      <c r="H182" s="326">
        <v>0</v>
      </c>
    </row>
    <row r="183" spans="1:8">
      <c r="A183" s="382" t="s">
        <v>1969</v>
      </c>
      <c r="B183" s="799">
        <v>630300100900000</v>
      </c>
      <c r="C183" s="320" t="s">
        <v>273</v>
      </c>
      <c r="D183" s="321"/>
      <c r="E183" s="326">
        <f t="shared" si="2"/>
        <v>0</v>
      </c>
      <c r="F183" s="351"/>
      <c r="G183" s="351"/>
      <c r="H183" s="326">
        <v>0</v>
      </c>
    </row>
    <row r="184" spans="1:8">
      <c r="A184" s="394">
        <v>5</v>
      </c>
      <c r="B184" s="802">
        <v>6303002000000</v>
      </c>
      <c r="C184" s="323" t="s">
        <v>274</v>
      </c>
      <c r="D184" s="324"/>
      <c r="E184" s="327"/>
      <c r="F184" s="352"/>
      <c r="G184" s="352"/>
      <c r="H184" s="327">
        <v>0</v>
      </c>
    </row>
    <row r="185" spans="1:8">
      <c r="A185" s="382">
        <v>6</v>
      </c>
      <c r="B185" s="799">
        <v>630300200100000</v>
      </c>
      <c r="C185" s="320" t="s">
        <v>275</v>
      </c>
      <c r="D185" s="321"/>
      <c r="E185" s="326">
        <f t="shared" si="2"/>
        <v>0</v>
      </c>
      <c r="F185" s="351"/>
      <c r="G185" s="351"/>
      <c r="H185" s="326">
        <v>0</v>
      </c>
    </row>
    <row r="186" spans="1:8">
      <c r="A186" s="382">
        <v>6</v>
      </c>
      <c r="B186" s="799">
        <v>630300200150000</v>
      </c>
      <c r="C186" s="320" t="s">
        <v>276</v>
      </c>
      <c r="D186" s="321"/>
      <c r="E186" s="326">
        <f t="shared" si="2"/>
        <v>0</v>
      </c>
      <c r="F186" s="351"/>
      <c r="G186" s="351"/>
      <c r="H186" s="326">
        <v>0</v>
      </c>
    </row>
    <row r="187" spans="1:8">
      <c r="A187" s="382">
        <v>6</v>
      </c>
      <c r="B187" s="799">
        <v>630300200200000</v>
      </c>
      <c r="C187" s="320" t="s">
        <v>277</v>
      </c>
      <c r="D187" s="321"/>
      <c r="E187" s="326">
        <f t="shared" si="2"/>
        <v>0</v>
      </c>
      <c r="F187" s="351"/>
      <c r="G187" s="351"/>
      <c r="H187" s="326">
        <v>0</v>
      </c>
    </row>
    <row r="188" spans="1:8">
      <c r="A188" s="382">
        <v>6</v>
      </c>
      <c r="B188" s="799">
        <v>630300200250000</v>
      </c>
      <c r="C188" s="320" t="s">
        <v>278</v>
      </c>
      <c r="D188" s="321"/>
      <c r="E188" s="326">
        <f t="shared" si="2"/>
        <v>0</v>
      </c>
      <c r="F188" s="351"/>
      <c r="G188" s="351"/>
      <c r="H188" s="326">
        <v>0</v>
      </c>
    </row>
    <row r="189" spans="1:8">
      <c r="A189" s="382">
        <v>6</v>
      </c>
      <c r="B189" s="799">
        <v>630300200300000</v>
      </c>
      <c r="C189" s="320" t="s">
        <v>279</v>
      </c>
      <c r="D189" s="321"/>
      <c r="E189" s="326">
        <f t="shared" si="2"/>
        <v>0</v>
      </c>
      <c r="F189" s="351"/>
      <c r="G189" s="351"/>
      <c r="H189" s="326">
        <v>0</v>
      </c>
    </row>
    <row r="190" spans="1:8">
      <c r="A190" s="382">
        <v>6</v>
      </c>
      <c r="B190" s="799">
        <v>630300200350000</v>
      </c>
      <c r="C190" s="320" t="s">
        <v>280</v>
      </c>
      <c r="D190" s="321"/>
      <c r="E190" s="326">
        <f t="shared" si="2"/>
        <v>0</v>
      </c>
      <c r="F190" s="351"/>
      <c r="G190" s="351"/>
      <c r="H190" s="326">
        <v>0</v>
      </c>
    </row>
    <row r="191" spans="1:8">
      <c r="A191" s="382">
        <v>6</v>
      </c>
      <c r="B191" s="799">
        <v>630300200400000</v>
      </c>
      <c r="C191" s="320" t="s">
        <v>281</v>
      </c>
      <c r="D191" s="321"/>
      <c r="E191" s="326">
        <f t="shared" si="2"/>
        <v>0</v>
      </c>
      <c r="F191" s="351"/>
      <c r="G191" s="351"/>
      <c r="H191" s="326">
        <v>0</v>
      </c>
    </row>
    <row r="192" spans="1:8">
      <c r="A192" s="382">
        <v>6</v>
      </c>
      <c r="B192" s="799">
        <v>630300200450000</v>
      </c>
      <c r="C192" s="320" t="s">
        <v>282</v>
      </c>
      <c r="D192" s="321"/>
      <c r="E192" s="326">
        <f t="shared" si="2"/>
        <v>0</v>
      </c>
      <c r="F192" s="351"/>
      <c r="G192" s="351"/>
      <c r="H192" s="326">
        <v>0</v>
      </c>
    </row>
    <row r="193" spans="1:8">
      <c r="A193" s="382">
        <v>6</v>
      </c>
      <c r="B193" s="799">
        <v>630300200500000</v>
      </c>
      <c r="C193" s="320" t="s">
        <v>283</v>
      </c>
      <c r="D193" s="321"/>
      <c r="E193" s="326">
        <f t="shared" si="2"/>
        <v>0</v>
      </c>
      <c r="F193" s="351"/>
      <c r="G193" s="351"/>
      <c r="H193" s="326">
        <v>0</v>
      </c>
    </row>
    <row r="194" spans="1:8">
      <c r="A194" s="382">
        <v>6</v>
      </c>
      <c r="B194" s="799">
        <v>630300200550000</v>
      </c>
      <c r="C194" s="320" t="s">
        <v>284</v>
      </c>
      <c r="D194" s="321"/>
      <c r="E194" s="326">
        <f t="shared" si="2"/>
        <v>0</v>
      </c>
      <c r="F194" s="351"/>
      <c r="G194" s="351"/>
      <c r="H194" s="326">
        <v>0</v>
      </c>
    </row>
    <row r="195" spans="1:8">
      <c r="A195" s="382">
        <v>6</v>
      </c>
      <c r="B195" s="799">
        <v>630300200600000</v>
      </c>
      <c r="C195" s="320" t="s">
        <v>285</v>
      </c>
      <c r="D195" s="321"/>
      <c r="E195" s="326">
        <f t="shared" si="2"/>
        <v>0</v>
      </c>
      <c r="F195" s="351"/>
      <c r="G195" s="351"/>
      <c r="H195" s="326">
        <v>0</v>
      </c>
    </row>
    <row r="196" spans="1:8">
      <c r="A196" s="382">
        <v>6</v>
      </c>
      <c r="B196" s="799">
        <v>630300200650000</v>
      </c>
      <c r="C196" s="320" t="s">
        <v>286</v>
      </c>
      <c r="D196" s="321"/>
      <c r="E196" s="326">
        <f t="shared" si="2"/>
        <v>0</v>
      </c>
      <c r="F196" s="351"/>
      <c r="G196" s="351"/>
      <c r="H196" s="326">
        <v>0</v>
      </c>
    </row>
    <row r="197" spans="1:8">
      <c r="A197" s="382">
        <v>6</v>
      </c>
      <c r="B197" s="799">
        <v>630300200700000</v>
      </c>
      <c r="C197" s="320" t="s">
        <v>287</v>
      </c>
      <c r="D197" s="321"/>
      <c r="E197" s="326">
        <f t="shared" si="2"/>
        <v>0</v>
      </c>
      <c r="F197" s="351"/>
      <c r="G197" s="351"/>
      <c r="H197" s="326">
        <v>0</v>
      </c>
    </row>
    <row r="198" spans="1:8">
      <c r="A198" s="382">
        <v>6</v>
      </c>
      <c r="B198" s="799">
        <v>630300200750000</v>
      </c>
      <c r="C198" s="320" t="s">
        <v>288</v>
      </c>
      <c r="D198" s="321"/>
      <c r="E198" s="326">
        <f t="shared" si="2"/>
        <v>0</v>
      </c>
      <c r="F198" s="351"/>
      <c r="G198" s="351"/>
      <c r="H198" s="326">
        <v>0</v>
      </c>
    </row>
    <row r="199" spans="1:8">
      <c r="A199" s="394">
        <v>6</v>
      </c>
      <c r="B199" s="802">
        <v>6303002008000</v>
      </c>
      <c r="C199" s="323" t="s">
        <v>289</v>
      </c>
      <c r="D199" s="324"/>
      <c r="E199" s="327"/>
      <c r="F199" s="352"/>
      <c r="G199" s="352"/>
      <c r="H199" s="327">
        <v>0</v>
      </c>
    </row>
    <row r="200" spans="1:8">
      <c r="A200" s="382">
        <v>7</v>
      </c>
      <c r="B200" s="799">
        <v>630300200801000</v>
      </c>
      <c r="C200" s="320" t="s">
        <v>290</v>
      </c>
      <c r="D200" s="321"/>
      <c r="E200" s="326">
        <f t="shared" ref="E200:E263" si="3">+F200+G200</f>
        <v>0</v>
      </c>
      <c r="F200" s="351"/>
      <c r="G200" s="351"/>
      <c r="H200" s="326">
        <v>0</v>
      </c>
    </row>
    <row r="201" spans="1:8">
      <c r="A201" s="382">
        <v>7</v>
      </c>
      <c r="B201" s="799">
        <v>630300200802000</v>
      </c>
      <c r="C201" s="320" t="s">
        <v>291</v>
      </c>
      <c r="D201" s="321"/>
      <c r="E201" s="326">
        <f t="shared" si="3"/>
        <v>0</v>
      </c>
      <c r="F201" s="351"/>
      <c r="G201" s="351"/>
      <c r="H201" s="326">
        <v>0</v>
      </c>
    </row>
    <row r="202" spans="1:8">
      <c r="A202" s="382">
        <v>6</v>
      </c>
      <c r="B202" s="799">
        <v>630300200900000</v>
      </c>
      <c r="C202" s="320" t="s">
        <v>292</v>
      </c>
      <c r="D202" s="321"/>
      <c r="E202" s="326">
        <f t="shared" si="3"/>
        <v>0</v>
      </c>
      <c r="F202" s="351"/>
      <c r="G202" s="351"/>
      <c r="H202" s="326">
        <v>0</v>
      </c>
    </row>
    <row r="203" spans="1:8">
      <c r="A203" s="382">
        <v>5</v>
      </c>
      <c r="B203" s="799">
        <v>630300300000000</v>
      </c>
      <c r="C203" s="320" t="s">
        <v>2028</v>
      </c>
      <c r="D203" s="321"/>
      <c r="E203" s="326">
        <f t="shared" si="3"/>
        <v>0</v>
      </c>
      <c r="F203" s="351"/>
      <c r="G203" s="351"/>
      <c r="H203" s="326">
        <v>0</v>
      </c>
    </row>
    <row r="204" spans="1:8">
      <c r="A204" s="382">
        <v>5</v>
      </c>
      <c r="B204" s="799">
        <v>630300400000000</v>
      </c>
      <c r="C204" s="320" t="s">
        <v>293</v>
      </c>
      <c r="D204" s="321"/>
      <c r="E204" s="326">
        <f t="shared" si="3"/>
        <v>0</v>
      </c>
      <c r="F204" s="351"/>
      <c r="G204" s="351"/>
      <c r="H204" s="326">
        <v>61499</v>
      </c>
    </row>
    <row r="205" spans="1:8">
      <c r="A205" s="382">
        <v>5</v>
      </c>
      <c r="B205" s="799">
        <v>630300500000000</v>
      </c>
      <c r="C205" s="320" t="s">
        <v>294</v>
      </c>
      <c r="D205" s="321"/>
      <c r="E205" s="326">
        <f t="shared" si="3"/>
        <v>0</v>
      </c>
      <c r="F205" s="351"/>
      <c r="G205" s="351"/>
      <c r="H205" s="326">
        <v>0</v>
      </c>
    </row>
    <row r="206" spans="1:8">
      <c r="A206" s="382">
        <v>5</v>
      </c>
      <c r="B206" s="799">
        <v>630300600000000</v>
      </c>
      <c r="C206" s="320" t="s">
        <v>295</v>
      </c>
      <c r="D206" s="321"/>
      <c r="E206" s="326">
        <f t="shared" si="3"/>
        <v>0</v>
      </c>
      <c r="F206" s="351"/>
      <c r="G206" s="351"/>
      <c r="H206" s="326">
        <v>0</v>
      </c>
    </row>
    <row r="207" spans="1:8">
      <c r="A207" s="382">
        <v>5</v>
      </c>
      <c r="B207" s="799">
        <v>630300700000000</v>
      </c>
      <c r="C207" s="320" t="s">
        <v>296</v>
      </c>
      <c r="D207" s="321"/>
      <c r="E207" s="326">
        <f t="shared" si="3"/>
        <v>223800</v>
      </c>
      <c r="F207" s="351">
        <v>223800</v>
      </c>
      <c r="G207" s="351"/>
      <c r="H207" s="326">
        <v>161102</v>
      </c>
    </row>
    <row r="208" spans="1:8">
      <c r="A208" s="382">
        <v>5</v>
      </c>
      <c r="B208" s="799">
        <v>630300800000000</v>
      </c>
      <c r="C208" s="320" t="s">
        <v>297</v>
      </c>
      <c r="D208" s="321"/>
      <c r="E208" s="326">
        <f t="shared" si="3"/>
        <v>0</v>
      </c>
      <c r="F208" s="351"/>
      <c r="G208" s="351"/>
      <c r="H208" s="326">
        <v>0</v>
      </c>
    </row>
    <row r="209" spans="1:8">
      <c r="A209" s="394">
        <v>5</v>
      </c>
      <c r="B209" s="802">
        <v>6303009000000</v>
      </c>
      <c r="C209" s="323" t="s">
        <v>298</v>
      </c>
      <c r="D209" s="324"/>
      <c r="E209" s="327"/>
      <c r="F209" s="352"/>
      <c r="G209" s="352"/>
      <c r="H209" s="327">
        <v>0</v>
      </c>
    </row>
    <row r="210" spans="1:8">
      <c r="A210" s="382">
        <v>6</v>
      </c>
      <c r="B210" s="799">
        <v>630300900100000</v>
      </c>
      <c r="C210" s="320" t="s">
        <v>299</v>
      </c>
      <c r="D210" s="321"/>
      <c r="E210" s="326">
        <f t="shared" si="3"/>
        <v>0</v>
      </c>
      <c r="F210" s="351"/>
      <c r="G210" s="351"/>
      <c r="H210" s="326">
        <v>0</v>
      </c>
    </row>
    <row r="211" spans="1:8">
      <c r="A211" s="382">
        <v>6</v>
      </c>
      <c r="B211" s="799">
        <v>630300900900000</v>
      </c>
      <c r="C211" s="320" t="s">
        <v>300</v>
      </c>
      <c r="D211" s="321"/>
      <c r="E211" s="326">
        <f t="shared" si="3"/>
        <v>0</v>
      </c>
      <c r="F211" s="351"/>
      <c r="G211" s="351"/>
      <c r="H211" s="326">
        <v>0</v>
      </c>
    </row>
    <row r="212" spans="1:8">
      <c r="A212" s="393" t="s">
        <v>1965</v>
      </c>
      <c r="B212" s="800" t="s">
        <v>1322</v>
      </c>
      <c r="C212" s="316" t="s">
        <v>2029</v>
      </c>
      <c r="D212" s="318"/>
      <c r="E212" s="363"/>
      <c r="F212" s="363"/>
      <c r="G212" s="363"/>
      <c r="H212" s="363">
        <v>0</v>
      </c>
    </row>
    <row r="213" spans="1:8">
      <c r="A213" s="393" t="s">
        <v>1967</v>
      </c>
      <c r="B213" s="800" t="s">
        <v>302</v>
      </c>
      <c r="C213" s="316" t="s">
        <v>2030</v>
      </c>
      <c r="D213" s="318"/>
      <c r="E213" s="363"/>
      <c r="F213" s="363"/>
      <c r="G213" s="363"/>
      <c r="H213" s="363">
        <v>0</v>
      </c>
    </row>
    <row r="214" spans="1:8">
      <c r="A214" s="382" t="s">
        <v>1969</v>
      </c>
      <c r="B214" s="799">
        <v>630400100000000</v>
      </c>
      <c r="C214" s="320" t="s">
        <v>301</v>
      </c>
      <c r="D214" s="321"/>
      <c r="E214" s="326">
        <f t="shared" si="3"/>
        <v>0</v>
      </c>
      <c r="F214" s="351"/>
      <c r="G214" s="351"/>
      <c r="H214" s="326">
        <v>0</v>
      </c>
    </row>
    <row r="215" spans="1:8">
      <c r="A215" s="393" t="s">
        <v>1967</v>
      </c>
      <c r="B215" s="800" t="s">
        <v>304</v>
      </c>
      <c r="C215" s="316" t="s">
        <v>2031</v>
      </c>
      <c r="D215" s="318"/>
      <c r="E215" s="363"/>
      <c r="F215" s="363"/>
      <c r="G215" s="363"/>
      <c r="H215" s="363">
        <v>0</v>
      </c>
    </row>
    <row r="216" spans="1:8">
      <c r="A216" s="382" t="s">
        <v>1969</v>
      </c>
      <c r="B216" s="799">
        <v>630400200000000</v>
      </c>
      <c r="C216" s="320" t="s">
        <v>303</v>
      </c>
      <c r="D216" s="321"/>
      <c r="E216" s="326">
        <f t="shared" si="3"/>
        <v>0</v>
      </c>
      <c r="F216" s="351"/>
      <c r="G216" s="351"/>
      <c r="H216" s="326">
        <v>0</v>
      </c>
    </row>
    <row r="217" spans="1:8">
      <c r="A217" s="393" t="s">
        <v>1967</v>
      </c>
      <c r="B217" s="800" t="s">
        <v>306</v>
      </c>
      <c r="C217" s="316" t="s">
        <v>2032</v>
      </c>
      <c r="D217" s="318"/>
      <c r="E217" s="363"/>
      <c r="F217" s="363"/>
      <c r="G217" s="363"/>
      <c r="H217" s="363">
        <v>0</v>
      </c>
    </row>
    <row r="218" spans="1:8">
      <c r="A218" s="382" t="s">
        <v>1969</v>
      </c>
      <c r="B218" s="799">
        <v>630400300000000</v>
      </c>
      <c r="C218" s="320" t="s">
        <v>305</v>
      </c>
      <c r="D218" s="321"/>
      <c r="E218" s="326">
        <f t="shared" si="3"/>
        <v>0</v>
      </c>
      <c r="F218" s="351"/>
      <c r="G218" s="351"/>
      <c r="H218" s="326">
        <v>0</v>
      </c>
    </row>
    <row r="219" spans="1:8" ht="25.5">
      <c r="A219" s="393" t="s">
        <v>1967</v>
      </c>
      <c r="B219" s="800" t="s">
        <v>308</v>
      </c>
      <c r="C219" s="316" t="s">
        <v>2033</v>
      </c>
      <c r="D219" s="318"/>
      <c r="E219" s="363"/>
      <c r="F219" s="363"/>
      <c r="G219" s="363"/>
      <c r="H219" s="363">
        <v>0</v>
      </c>
    </row>
    <row r="220" spans="1:8" ht="24">
      <c r="A220" s="382" t="s">
        <v>1969</v>
      </c>
      <c r="B220" s="799">
        <v>630400400000000</v>
      </c>
      <c r="C220" s="320" t="s">
        <v>307</v>
      </c>
      <c r="D220" s="321"/>
      <c r="E220" s="326">
        <f t="shared" si="3"/>
        <v>0</v>
      </c>
      <c r="F220" s="351"/>
      <c r="G220" s="351"/>
      <c r="H220" s="326">
        <v>0</v>
      </c>
    </row>
    <row r="221" spans="1:8" ht="25.5">
      <c r="A221" s="393" t="s">
        <v>1967</v>
      </c>
      <c r="B221" s="800" t="s">
        <v>310</v>
      </c>
      <c r="C221" s="316" t="s">
        <v>2034</v>
      </c>
      <c r="D221" s="318" t="s">
        <v>1248</v>
      </c>
      <c r="E221" s="363"/>
      <c r="F221" s="363"/>
      <c r="G221" s="363"/>
      <c r="H221" s="363">
        <v>0</v>
      </c>
    </row>
    <row r="222" spans="1:8" ht="24">
      <c r="A222" s="382" t="s">
        <v>1969</v>
      </c>
      <c r="B222" s="799">
        <v>630400500000000</v>
      </c>
      <c r="C222" s="320" t="s">
        <v>309</v>
      </c>
      <c r="D222" s="321" t="s">
        <v>1248</v>
      </c>
      <c r="E222" s="326">
        <f t="shared" si="3"/>
        <v>0</v>
      </c>
      <c r="F222" s="351"/>
      <c r="G222" s="351"/>
      <c r="H222" s="326">
        <v>0</v>
      </c>
    </row>
    <row r="223" spans="1:8">
      <c r="A223" s="393" t="s">
        <v>1967</v>
      </c>
      <c r="B223" s="800" t="s">
        <v>312</v>
      </c>
      <c r="C223" s="316" t="s">
        <v>2035</v>
      </c>
      <c r="D223" s="318"/>
      <c r="E223" s="363"/>
      <c r="F223" s="363"/>
      <c r="G223" s="363"/>
      <c r="H223" s="363">
        <v>0</v>
      </c>
    </row>
    <row r="224" spans="1:8">
      <c r="A224" s="382" t="s">
        <v>1969</v>
      </c>
      <c r="B224" s="799">
        <v>630400600000000</v>
      </c>
      <c r="C224" s="320" t="s">
        <v>311</v>
      </c>
      <c r="D224" s="321"/>
      <c r="E224" s="326">
        <f t="shared" si="3"/>
        <v>0</v>
      </c>
      <c r="F224" s="351"/>
      <c r="G224" s="351"/>
      <c r="H224" s="326">
        <v>0</v>
      </c>
    </row>
    <row r="225" spans="1:188" ht="25.5">
      <c r="A225" s="393" t="s">
        <v>1967</v>
      </c>
      <c r="B225" s="800" t="s">
        <v>314</v>
      </c>
      <c r="C225" s="316" t="s">
        <v>2036</v>
      </c>
      <c r="D225" s="318" t="s">
        <v>1248</v>
      </c>
      <c r="E225" s="363"/>
      <c r="F225" s="363"/>
      <c r="G225" s="363"/>
      <c r="H225" s="363">
        <v>0</v>
      </c>
    </row>
    <row r="226" spans="1:188" ht="24">
      <c r="A226" s="382" t="s">
        <v>1969</v>
      </c>
      <c r="B226" s="799">
        <v>630400700000000</v>
      </c>
      <c r="C226" s="320" t="s">
        <v>313</v>
      </c>
      <c r="D226" s="321" t="s">
        <v>1248</v>
      </c>
      <c r="E226" s="326">
        <f t="shared" si="3"/>
        <v>0</v>
      </c>
      <c r="F226" s="351"/>
      <c r="G226" s="351"/>
      <c r="H226" s="326">
        <v>0</v>
      </c>
    </row>
    <row r="227" spans="1:188">
      <c r="A227" s="393" t="s">
        <v>1963</v>
      </c>
      <c r="B227" s="800" t="s">
        <v>1331</v>
      </c>
      <c r="C227" s="316" t="s">
        <v>1332</v>
      </c>
      <c r="D227" s="318"/>
      <c r="E227" s="363"/>
      <c r="F227" s="363"/>
      <c r="G227" s="363"/>
      <c r="H227" s="363">
        <v>0</v>
      </c>
    </row>
    <row r="228" spans="1:188">
      <c r="A228" s="393" t="s">
        <v>1965</v>
      </c>
      <c r="B228" s="800" t="s">
        <v>316</v>
      </c>
      <c r="C228" s="316" t="s">
        <v>1333</v>
      </c>
      <c r="D228" s="318"/>
      <c r="E228" s="363"/>
      <c r="F228" s="363"/>
      <c r="G228" s="363"/>
      <c r="H228" s="363">
        <v>0</v>
      </c>
    </row>
    <row r="229" spans="1:188">
      <c r="A229" s="382" t="s">
        <v>1967</v>
      </c>
      <c r="B229" s="799">
        <v>640100000000000</v>
      </c>
      <c r="C229" s="320" t="s">
        <v>315</v>
      </c>
      <c r="D229" s="321"/>
      <c r="E229" s="326">
        <f t="shared" si="3"/>
        <v>193021.49</v>
      </c>
      <c r="F229" s="351">
        <v>193021.49</v>
      </c>
      <c r="G229" s="351"/>
      <c r="H229" s="326">
        <v>1106.94</v>
      </c>
    </row>
    <row r="230" spans="1:188">
      <c r="A230" s="393" t="s">
        <v>1965</v>
      </c>
      <c r="B230" s="800" t="s">
        <v>1334</v>
      </c>
      <c r="C230" s="316" t="s">
        <v>1335</v>
      </c>
      <c r="D230" s="318"/>
      <c r="E230" s="363"/>
      <c r="F230" s="363"/>
      <c r="G230" s="363"/>
      <c r="H230" s="363">
        <v>0</v>
      </c>
    </row>
    <row r="231" spans="1:188" ht="25.5">
      <c r="A231" s="393" t="s">
        <v>1967</v>
      </c>
      <c r="B231" s="800" t="s">
        <v>318</v>
      </c>
      <c r="C231" s="316" t="s">
        <v>1336</v>
      </c>
      <c r="D231" s="318"/>
      <c r="E231" s="363"/>
      <c r="F231" s="363"/>
      <c r="G231" s="363"/>
      <c r="H231" s="363">
        <v>0</v>
      </c>
    </row>
    <row r="232" spans="1:188" ht="24">
      <c r="A232" s="382" t="s">
        <v>1969</v>
      </c>
      <c r="B232" s="799">
        <v>640200100000000</v>
      </c>
      <c r="C232" s="320" t="s">
        <v>317</v>
      </c>
      <c r="D232" s="321"/>
      <c r="E232" s="326">
        <f t="shared" si="3"/>
        <v>0</v>
      </c>
      <c r="F232" s="351"/>
      <c r="G232" s="351"/>
      <c r="H232" s="326">
        <v>0</v>
      </c>
    </row>
    <row r="233" spans="1:188">
      <c r="A233" s="393" t="s">
        <v>1967</v>
      </c>
      <c r="B233" s="800" t="s">
        <v>320</v>
      </c>
      <c r="C233" s="316" t="s">
        <v>1337</v>
      </c>
      <c r="D233" s="318"/>
      <c r="E233" s="363"/>
      <c r="F233" s="363"/>
      <c r="G233" s="363"/>
      <c r="H233" s="363">
        <v>0</v>
      </c>
    </row>
    <row r="234" spans="1:188">
      <c r="A234" s="382" t="s">
        <v>1969</v>
      </c>
      <c r="B234" s="799">
        <v>640200200000000</v>
      </c>
      <c r="C234" s="320" t="s">
        <v>319</v>
      </c>
      <c r="D234" s="321"/>
      <c r="E234" s="326">
        <f t="shared" si="3"/>
        <v>0</v>
      </c>
      <c r="F234" s="351"/>
      <c r="G234" s="351"/>
      <c r="H234" s="326">
        <v>0</v>
      </c>
    </row>
    <row r="235" spans="1:188">
      <c r="A235" s="393" t="s">
        <v>1965</v>
      </c>
      <c r="B235" s="800" t="s">
        <v>1338</v>
      </c>
      <c r="C235" s="316" t="s">
        <v>1339</v>
      </c>
      <c r="D235" s="318" t="s">
        <v>1248</v>
      </c>
      <c r="E235" s="363"/>
      <c r="F235" s="363"/>
      <c r="G235" s="363"/>
      <c r="H235" s="363">
        <v>0</v>
      </c>
    </row>
    <row r="236" spans="1:188" ht="25.5">
      <c r="A236" s="393" t="s">
        <v>1967</v>
      </c>
      <c r="B236" s="800" t="s">
        <v>322</v>
      </c>
      <c r="C236" s="316" t="s">
        <v>1340</v>
      </c>
      <c r="D236" s="318" t="s">
        <v>1248</v>
      </c>
      <c r="E236" s="363"/>
      <c r="F236" s="363"/>
      <c r="G236" s="363"/>
      <c r="H236" s="363">
        <v>0</v>
      </c>
    </row>
    <row r="237" spans="1:188" ht="24">
      <c r="A237" s="382">
        <v>6</v>
      </c>
      <c r="B237" s="799">
        <v>640300100000000</v>
      </c>
      <c r="C237" s="320" t="s">
        <v>321</v>
      </c>
      <c r="D237" s="321" t="s">
        <v>1248</v>
      </c>
      <c r="E237" s="326">
        <f t="shared" si="3"/>
        <v>0</v>
      </c>
      <c r="F237" s="351"/>
      <c r="G237" s="351"/>
      <c r="H237" s="326">
        <v>45358.65</v>
      </c>
    </row>
    <row r="238" spans="1:188" ht="25.5">
      <c r="A238" s="393" t="s">
        <v>1967</v>
      </c>
      <c r="B238" s="800" t="s">
        <v>324</v>
      </c>
      <c r="C238" s="316" t="s">
        <v>1341</v>
      </c>
      <c r="D238" s="318" t="s">
        <v>1248</v>
      </c>
      <c r="E238" s="363"/>
      <c r="F238" s="363"/>
      <c r="G238" s="363"/>
      <c r="H238" s="363">
        <v>0</v>
      </c>
    </row>
    <row r="239" spans="1:188">
      <c r="A239" s="382" t="s">
        <v>1969</v>
      </c>
      <c r="B239" s="799">
        <v>640300200000000</v>
      </c>
      <c r="C239" s="320" t="s">
        <v>323</v>
      </c>
      <c r="D239" s="321" t="s">
        <v>1248</v>
      </c>
      <c r="E239" s="326">
        <f t="shared" si="3"/>
        <v>464729659.75</v>
      </c>
      <c r="F239" s="351">
        <v>464729659.75</v>
      </c>
      <c r="G239" s="351"/>
      <c r="H239" s="326">
        <v>431217548.94999999</v>
      </c>
    </row>
    <row r="240" spans="1:188" ht="25.5">
      <c r="A240" s="393" t="s">
        <v>1967</v>
      </c>
      <c r="B240" s="800" t="s">
        <v>325</v>
      </c>
      <c r="C240" s="316" t="s">
        <v>1342</v>
      </c>
      <c r="D240" s="318" t="s">
        <v>1248</v>
      </c>
      <c r="E240" s="363"/>
      <c r="F240" s="363"/>
      <c r="G240" s="363"/>
      <c r="H240" s="363">
        <v>0</v>
      </c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/>
      <c r="CZ240" s="50"/>
      <c r="DA240" s="50"/>
      <c r="DB240" s="50"/>
      <c r="DC240" s="50"/>
      <c r="DD240" s="50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0"/>
      <c r="DR240" s="50"/>
      <c r="DS240" s="50"/>
      <c r="DT240" s="50"/>
      <c r="DU240" s="50"/>
      <c r="DV240" s="50"/>
      <c r="DW240" s="50"/>
      <c r="DX240" s="50"/>
      <c r="DY240" s="50"/>
      <c r="DZ240" s="50"/>
      <c r="EA240" s="50"/>
      <c r="EB240" s="50"/>
      <c r="EC240" s="50"/>
      <c r="ED240" s="50"/>
      <c r="EE240" s="50"/>
      <c r="EF240" s="50"/>
      <c r="EG240" s="50"/>
      <c r="EH240" s="50"/>
      <c r="EI240" s="50"/>
      <c r="EJ240" s="50"/>
      <c r="EK240" s="50"/>
      <c r="EL240" s="50"/>
      <c r="EM240" s="50"/>
      <c r="EN240" s="50"/>
      <c r="EO240" s="50"/>
      <c r="EP240" s="50"/>
      <c r="EQ240" s="50"/>
      <c r="ER240" s="50"/>
      <c r="ES240" s="50"/>
      <c r="ET240" s="50"/>
      <c r="EU240" s="50"/>
      <c r="EV240" s="50"/>
      <c r="EW240" s="50"/>
      <c r="EX240" s="50"/>
      <c r="EY240" s="50"/>
      <c r="EZ240" s="50"/>
      <c r="FA240" s="50"/>
      <c r="FB240" s="50"/>
      <c r="FC240" s="50"/>
      <c r="FD240" s="50"/>
      <c r="FE240" s="50"/>
      <c r="FF240" s="50"/>
      <c r="FG240" s="50"/>
      <c r="FH240" s="50"/>
      <c r="FI240" s="50"/>
      <c r="FJ240" s="50"/>
      <c r="FK240" s="50"/>
      <c r="FL240" s="50"/>
      <c r="FM240" s="50"/>
      <c r="FN240" s="50"/>
      <c r="FO240" s="50"/>
      <c r="FP240" s="50"/>
      <c r="FQ240" s="50"/>
      <c r="FR240" s="50"/>
      <c r="FS240" s="50"/>
      <c r="FT240" s="50"/>
      <c r="FU240" s="50"/>
      <c r="FV240" s="50"/>
      <c r="FW240" s="50"/>
      <c r="FX240" s="50"/>
      <c r="FY240" s="50"/>
      <c r="FZ240" s="50"/>
      <c r="GA240" s="50"/>
      <c r="GB240" s="50"/>
      <c r="GC240" s="50"/>
      <c r="GD240" s="50"/>
      <c r="GE240" s="50"/>
      <c r="GF240" s="50"/>
    </row>
    <row r="241" spans="1:188">
      <c r="A241" s="382">
        <v>6</v>
      </c>
      <c r="B241" s="799">
        <v>640300300100000</v>
      </c>
      <c r="C241" s="320" t="s">
        <v>2037</v>
      </c>
      <c r="D241" s="321" t="s">
        <v>1248</v>
      </c>
      <c r="E241" s="326">
        <f t="shared" si="3"/>
        <v>11192893</v>
      </c>
      <c r="F241" s="351">
        <v>11192893</v>
      </c>
      <c r="G241" s="351"/>
      <c r="H241" s="326">
        <v>8498932.5800000001</v>
      </c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/>
      <c r="CZ241" s="50"/>
      <c r="DA241" s="50"/>
      <c r="DB241" s="50"/>
      <c r="DC241" s="50"/>
      <c r="DD241" s="50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0"/>
      <c r="DR241" s="50"/>
      <c r="DS241" s="50"/>
      <c r="DT241" s="50"/>
      <c r="DU241" s="50"/>
      <c r="DV241" s="50"/>
      <c r="DW241" s="50"/>
      <c r="DX241" s="50"/>
      <c r="DY241" s="50"/>
      <c r="DZ241" s="50"/>
      <c r="EA241" s="50"/>
      <c r="EB241" s="50"/>
      <c r="EC241" s="50"/>
      <c r="ED241" s="50"/>
      <c r="EE241" s="50"/>
      <c r="EF241" s="50"/>
      <c r="EG241" s="50"/>
      <c r="EH241" s="50"/>
      <c r="EI241" s="50"/>
      <c r="EJ241" s="50"/>
      <c r="EK241" s="50"/>
      <c r="EL241" s="50"/>
      <c r="EM241" s="50"/>
      <c r="EN241" s="50"/>
      <c r="EO241" s="50"/>
      <c r="EP241" s="50"/>
      <c r="EQ241" s="50"/>
      <c r="ER241" s="50"/>
      <c r="ES241" s="50"/>
      <c r="ET241" s="50"/>
      <c r="EU241" s="50"/>
      <c r="EV241" s="50"/>
      <c r="EW241" s="50"/>
      <c r="EX241" s="50"/>
      <c r="EY241" s="50"/>
      <c r="EZ241" s="50"/>
      <c r="FA241" s="50"/>
      <c r="FB241" s="50"/>
      <c r="FC241" s="50"/>
      <c r="FD241" s="50"/>
      <c r="FE241" s="50"/>
      <c r="FF241" s="50"/>
      <c r="FG241" s="50"/>
      <c r="FH241" s="50"/>
      <c r="FI241" s="50"/>
      <c r="FJ241" s="50"/>
      <c r="FK241" s="50"/>
      <c r="FL241" s="50"/>
      <c r="FM241" s="50"/>
      <c r="FN241" s="50"/>
      <c r="FO241" s="50"/>
      <c r="FP241" s="50"/>
      <c r="FQ241" s="50"/>
      <c r="FR241" s="50"/>
      <c r="FS241" s="50"/>
      <c r="FT241" s="50"/>
      <c r="FU241" s="50"/>
      <c r="FV241" s="50"/>
      <c r="FW241" s="50"/>
      <c r="FX241" s="50"/>
      <c r="FY241" s="50"/>
      <c r="FZ241" s="50"/>
      <c r="GA241" s="50"/>
      <c r="GB241" s="50"/>
      <c r="GC241" s="50"/>
      <c r="GD241" s="50"/>
      <c r="GE241" s="50"/>
      <c r="GF241" s="50"/>
    </row>
    <row r="242" spans="1:188">
      <c r="A242" s="382">
        <v>6</v>
      </c>
      <c r="B242" s="799">
        <v>640300300200000</v>
      </c>
      <c r="C242" s="320" t="s">
        <v>2038</v>
      </c>
      <c r="D242" s="321" t="s">
        <v>1248</v>
      </c>
      <c r="E242" s="326">
        <f t="shared" si="3"/>
        <v>3467.78</v>
      </c>
      <c r="F242" s="351">
        <v>3467.78</v>
      </c>
      <c r="G242" s="351"/>
      <c r="H242" s="326">
        <v>8520</v>
      </c>
    </row>
    <row r="243" spans="1:188">
      <c r="A243" s="382">
        <v>6</v>
      </c>
      <c r="B243" s="799">
        <v>640300300900000</v>
      </c>
      <c r="C243" s="320" t="s">
        <v>2039</v>
      </c>
      <c r="D243" s="321" t="s">
        <v>1248</v>
      </c>
      <c r="E243" s="326">
        <f t="shared" si="3"/>
        <v>1743553.36</v>
      </c>
      <c r="F243" s="351">
        <v>1743553.36</v>
      </c>
      <c r="G243" s="351"/>
      <c r="H243" s="326">
        <v>1767161.44</v>
      </c>
      <c r="I243" s="50"/>
      <c r="J243" s="81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0"/>
      <c r="EE243" s="50"/>
      <c r="EF243" s="50"/>
      <c r="EG243" s="50"/>
      <c r="EH243" s="50"/>
      <c r="EI243" s="50"/>
      <c r="EJ243" s="50"/>
      <c r="EK243" s="50"/>
      <c r="EL243" s="50"/>
      <c r="EM243" s="50"/>
      <c r="EN243" s="50"/>
      <c r="EO243" s="50"/>
      <c r="EP243" s="50"/>
      <c r="EQ243" s="50"/>
      <c r="ER243" s="50"/>
      <c r="ES243" s="50"/>
      <c r="ET243" s="50"/>
      <c r="EU243" s="50"/>
      <c r="EV243" s="50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  <c r="FG243" s="50"/>
      <c r="FH243" s="50"/>
      <c r="FI243" s="50"/>
      <c r="FJ243" s="50"/>
      <c r="FK243" s="50"/>
      <c r="FL243" s="50"/>
      <c r="FM243" s="50"/>
      <c r="FN243" s="50"/>
      <c r="FO243" s="50"/>
      <c r="FP243" s="50"/>
      <c r="FQ243" s="50"/>
      <c r="FR243" s="50"/>
      <c r="FS243" s="50"/>
      <c r="FT243" s="50"/>
      <c r="FU243" s="50"/>
      <c r="FV243" s="50"/>
      <c r="FW243" s="50"/>
      <c r="FX243" s="50"/>
      <c r="FY243" s="50"/>
      <c r="FZ243" s="50"/>
      <c r="GA243" s="50"/>
      <c r="GB243" s="50"/>
      <c r="GC243" s="50"/>
      <c r="GD243" s="50"/>
      <c r="GE243" s="50"/>
      <c r="GF243" s="50"/>
    </row>
    <row r="244" spans="1:188">
      <c r="A244" s="393" t="s">
        <v>1967</v>
      </c>
      <c r="B244" s="800" t="s">
        <v>327</v>
      </c>
      <c r="C244" s="316" t="s">
        <v>1343</v>
      </c>
      <c r="D244" s="318" t="s">
        <v>1248</v>
      </c>
      <c r="E244" s="363"/>
      <c r="F244" s="363"/>
      <c r="G244" s="363"/>
      <c r="H244" s="363">
        <v>0</v>
      </c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  <c r="FK244" s="50"/>
      <c r="FL244" s="50"/>
      <c r="FM244" s="50"/>
      <c r="FN244" s="50"/>
      <c r="FO244" s="50"/>
      <c r="FP244" s="50"/>
      <c r="FQ244" s="50"/>
      <c r="FR244" s="50"/>
      <c r="FS244" s="50"/>
      <c r="FT244" s="50"/>
      <c r="FU244" s="50"/>
      <c r="FV244" s="50"/>
      <c r="FW244" s="50"/>
      <c r="FX244" s="50"/>
      <c r="FY244" s="50"/>
      <c r="FZ244" s="50"/>
      <c r="GA244" s="50"/>
      <c r="GB244" s="50"/>
      <c r="GC244" s="50"/>
      <c r="GD244" s="50"/>
      <c r="GE244" s="50"/>
      <c r="GF244" s="50"/>
    </row>
    <row r="245" spans="1:188">
      <c r="A245" s="382" t="s">
        <v>1969</v>
      </c>
      <c r="B245" s="799">
        <v>640300400000000</v>
      </c>
      <c r="C245" s="320" t="s">
        <v>326</v>
      </c>
      <c r="D245" s="321" t="s">
        <v>1248</v>
      </c>
      <c r="E245" s="326">
        <f t="shared" si="3"/>
        <v>0</v>
      </c>
      <c r="F245" s="351"/>
      <c r="G245" s="351"/>
      <c r="H245" s="326">
        <v>0</v>
      </c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  <c r="FK245" s="50"/>
      <c r="FL245" s="50"/>
      <c r="FM245" s="50"/>
      <c r="FN245" s="50"/>
      <c r="FO245" s="50"/>
      <c r="FP245" s="50"/>
      <c r="FQ245" s="50"/>
      <c r="FR245" s="50"/>
      <c r="FS245" s="50"/>
      <c r="FT245" s="50"/>
      <c r="FU245" s="50"/>
      <c r="FV245" s="50"/>
      <c r="FW245" s="50"/>
      <c r="FX245" s="50"/>
      <c r="FY245" s="50"/>
      <c r="FZ245" s="50"/>
      <c r="GA245" s="50"/>
      <c r="GB245" s="50"/>
      <c r="GC245" s="50"/>
      <c r="GD245" s="50"/>
      <c r="GE245" s="50"/>
      <c r="GF245" s="50"/>
    </row>
    <row r="246" spans="1:188">
      <c r="A246" s="393" t="s">
        <v>1965</v>
      </c>
      <c r="B246" s="800" t="s">
        <v>328</v>
      </c>
      <c r="C246" s="316" t="s">
        <v>1344</v>
      </c>
      <c r="D246" s="318"/>
      <c r="E246" s="363"/>
      <c r="F246" s="363"/>
      <c r="G246" s="363"/>
      <c r="H246" s="363">
        <v>0</v>
      </c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  <c r="FK246" s="50"/>
      <c r="FL246" s="50"/>
      <c r="FM246" s="50"/>
      <c r="FN246" s="50"/>
      <c r="FO246" s="50"/>
      <c r="FP246" s="50"/>
      <c r="FQ246" s="50"/>
      <c r="FR246" s="50"/>
      <c r="FS246" s="50"/>
      <c r="FT246" s="50"/>
      <c r="FU246" s="50"/>
      <c r="FV246" s="50"/>
      <c r="FW246" s="50"/>
      <c r="FX246" s="50"/>
      <c r="FY246" s="50"/>
      <c r="FZ246" s="50"/>
      <c r="GA246" s="50"/>
      <c r="GB246" s="50"/>
      <c r="GC246" s="50"/>
      <c r="GD246" s="50"/>
      <c r="GE246" s="50"/>
      <c r="GF246" s="50"/>
    </row>
    <row r="247" spans="1:188" ht="25.5">
      <c r="A247" s="393" t="s">
        <v>1967</v>
      </c>
      <c r="B247" s="800" t="s">
        <v>330</v>
      </c>
      <c r="C247" s="316" t="s">
        <v>1345</v>
      </c>
      <c r="D247" s="318"/>
      <c r="E247" s="363"/>
      <c r="F247" s="363"/>
      <c r="G247" s="363"/>
      <c r="H247" s="363">
        <v>0</v>
      </c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  <c r="FK247" s="50"/>
      <c r="FL247" s="50"/>
      <c r="FM247" s="50"/>
      <c r="FN247" s="50"/>
      <c r="FO247" s="50"/>
      <c r="FP247" s="50"/>
      <c r="FQ247" s="50"/>
      <c r="FR247" s="50"/>
      <c r="FS247" s="50"/>
      <c r="FT247" s="50"/>
      <c r="FU247" s="50"/>
      <c r="FV247" s="50"/>
      <c r="FW247" s="50"/>
      <c r="FX247" s="50"/>
      <c r="FY247" s="50"/>
      <c r="FZ247" s="50"/>
      <c r="GA247" s="50"/>
      <c r="GB247" s="50"/>
      <c r="GC247" s="50"/>
      <c r="GD247" s="50"/>
      <c r="GE247" s="50"/>
      <c r="GF247" s="50"/>
    </row>
    <row r="248" spans="1:188" ht="24">
      <c r="A248" s="382" t="s">
        <v>1969</v>
      </c>
      <c r="B248" s="799">
        <v>640400100000000</v>
      </c>
      <c r="C248" s="320" t="s">
        <v>329</v>
      </c>
      <c r="D248" s="321"/>
      <c r="E248" s="326">
        <f t="shared" si="3"/>
        <v>233122.02</v>
      </c>
      <c r="F248" s="351">
        <v>233122.02</v>
      </c>
      <c r="G248" s="351"/>
      <c r="H248" s="326">
        <v>257537.95</v>
      </c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  <c r="FK248" s="50"/>
      <c r="FL248" s="50"/>
      <c r="FM248" s="50"/>
      <c r="FN248" s="50"/>
      <c r="FO248" s="50"/>
      <c r="FP248" s="50"/>
      <c r="FQ248" s="50"/>
      <c r="FR248" s="50"/>
      <c r="FS248" s="50"/>
      <c r="FT248" s="50"/>
      <c r="FU248" s="50"/>
      <c r="FV248" s="50"/>
      <c r="FW248" s="50"/>
      <c r="FX248" s="50"/>
      <c r="FY248" s="50"/>
      <c r="FZ248" s="50"/>
      <c r="GA248" s="50"/>
      <c r="GB248" s="50"/>
      <c r="GC248" s="50"/>
      <c r="GD248" s="50"/>
      <c r="GE248" s="50"/>
      <c r="GF248" s="50"/>
    </row>
    <row r="249" spans="1:188">
      <c r="A249" s="393" t="s">
        <v>1967</v>
      </c>
      <c r="B249" s="800" t="s">
        <v>332</v>
      </c>
      <c r="C249" s="316" t="s">
        <v>1346</v>
      </c>
      <c r="D249" s="318"/>
      <c r="E249" s="363"/>
      <c r="F249" s="363"/>
      <c r="G249" s="363"/>
      <c r="H249" s="363">
        <v>0</v>
      </c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A249" s="50"/>
      <c r="DB249" s="50"/>
      <c r="DC249" s="50"/>
      <c r="DD249" s="50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50"/>
      <c r="DR249" s="50"/>
      <c r="DS249" s="50"/>
      <c r="DT249" s="50"/>
      <c r="DU249" s="50"/>
      <c r="DV249" s="50"/>
      <c r="DW249" s="50"/>
      <c r="DX249" s="50"/>
      <c r="DY249" s="50"/>
      <c r="DZ249" s="50"/>
      <c r="EA249" s="50"/>
      <c r="EB249" s="50"/>
      <c r="EC249" s="50"/>
      <c r="ED249" s="50"/>
      <c r="EE249" s="50"/>
      <c r="EF249" s="50"/>
      <c r="EG249" s="50"/>
      <c r="EH249" s="50"/>
      <c r="EI249" s="50"/>
      <c r="EJ249" s="50"/>
      <c r="EK249" s="50"/>
      <c r="EL249" s="50"/>
      <c r="EM249" s="50"/>
      <c r="EN249" s="50"/>
      <c r="EO249" s="50"/>
      <c r="EP249" s="50"/>
      <c r="EQ249" s="50"/>
      <c r="ER249" s="50"/>
      <c r="ES249" s="50"/>
      <c r="ET249" s="50"/>
      <c r="EU249" s="50"/>
      <c r="EV249" s="50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  <c r="FK249" s="50"/>
      <c r="FL249" s="50"/>
      <c r="FM249" s="50"/>
      <c r="FN249" s="50"/>
      <c r="FO249" s="50"/>
      <c r="FP249" s="50"/>
      <c r="FQ249" s="50"/>
      <c r="FR249" s="50"/>
      <c r="FS249" s="50"/>
      <c r="FT249" s="50"/>
      <c r="FU249" s="50"/>
      <c r="FV249" s="50"/>
      <c r="FW249" s="50"/>
      <c r="FX249" s="50"/>
      <c r="FY249" s="50"/>
      <c r="FZ249" s="50"/>
      <c r="GA249" s="50"/>
      <c r="GB249" s="50"/>
      <c r="GC249" s="50"/>
      <c r="GD249" s="50"/>
      <c r="GE249" s="50"/>
      <c r="GF249" s="50"/>
    </row>
    <row r="250" spans="1:188">
      <c r="A250" s="382" t="s">
        <v>1969</v>
      </c>
      <c r="B250" s="799">
        <v>640400200000000</v>
      </c>
      <c r="C250" s="320" t="s">
        <v>331</v>
      </c>
      <c r="D250" s="321"/>
      <c r="E250" s="326">
        <f t="shared" si="3"/>
        <v>339043.63</v>
      </c>
      <c r="F250" s="351">
        <v>339043.63</v>
      </c>
      <c r="G250" s="351"/>
      <c r="H250" s="326">
        <v>420908.24</v>
      </c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0"/>
      <c r="EE250" s="50"/>
      <c r="EF250" s="50"/>
      <c r="EG250" s="50"/>
      <c r="EH250" s="50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  <c r="FK250" s="50"/>
      <c r="FL250" s="50"/>
      <c r="FM250" s="50"/>
      <c r="FN250" s="50"/>
      <c r="FO250" s="50"/>
      <c r="FP250" s="50"/>
      <c r="FQ250" s="50"/>
      <c r="FR250" s="50"/>
      <c r="FS250" s="50"/>
      <c r="FT250" s="50"/>
      <c r="FU250" s="50"/>
      <c r="FV250" s="50"/>
      <c r="FW250" s="50"/>
      <c r="FX250" s="50"/>
      <c r="FY250" s="50"/>
      <c r="FZ250" s="50"/>
      <c r="GA250" s="50"/>
      <c r="GB250" s="50"/>
      <c r="GC250" s="50"/>
      <c r="GD250" s="50"/>
      <c r="GE250" s="50"/>
      <c r="GF250" s="50"/>
    </row>
    <row r="251" spans="1:188">
      <c r="A251" s="393" t="s">
        <v>1967</v>
      </c>
      <c r="B251" s="800" t="s">
        <v>334</v>
      </c>
      <c r="C251" s="316" t="s">
        <v>1347</v>
      </c>
      <c r="D251" s="318"/>
      <c r="E251" s="363"/>
      <c r="F251" s="363"/>
      <c r="G251" s="363"/>
      <c r="H251" s="363">
        <v>0</v>
      </c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50"/>
      <c r="FT251" s="50"/>
      <c r="FU251" s="50"/>
      <c r="FV251" s="50"/>
      <c r="FW251" s="50"/>
      <c r="FX251" s="50"/>
      <c r="FY251" s="50"/>
      <c r="FZ251" s="50"/>
      <c r="GA251" s="50"/>
      <c r="GB251" s="50"/>
      <c r="GC251" s="50"/>
      <c r="GD251" s="50"/>
      <c r="GE251" s="50"/>
      <c r="GF251" s="50"/>
    </row>
    <row r="252" spans="1:188">
      <c r="A252" s="382" t="s">
        <v>1969</v>
      </c>
      <c r="B252" s="799">
        <v>640400300100000</v>
      </c>
      <c r="C252" s="320" t="s">
        <v>335</v>
      </c>
      <c r="D252" s="321"/>
      <c r="E252" s="326">
        <f t="shared" si="3"/>
        <v>0</v>
      </c>
      <c r="F252" s="351"/>
      <c r="G252" s="351"/>
      <c r="H252" s="326">
        <v>0</v>
      </c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0"/>
      <c r="DR252" s="50"/>
      <c r="DS252" s="50"/>
      <c r="DT252" s="50"/>
      <c r="DU252" s="50"/>
      <c r="DV252" s="50"/>
      <c r="DW252" s="50"/>
      <c r="DX252" s="50"/>
      <c r="DY252" s="50"/>
      <c r="DZ252" s="50"/>
      <c r="EA252" s="50"/>
      <c r="EB252" s="50"/>
      <c r="EC252" s="50"/>
      <c r="ED252" s="50"/>
      <c r="EE252" s="50"/>
      <c r="EF252" s="50"/>
      <c r="EG252" s="50"/>
      <c r="EH252" s="50"/>
      <c r="EI252" s="50"/>
      <c r="EJ252" s="50"/>
      <c r="EK252" s="50"/>
      <c r="EL252" s="50"/>
      <c r="EM252" s="50"/>
      <c r="EN252" s="50"/>
      <c r="EO252" s="50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  <c r="FK252" s="50"/>
      <c r="FL252" s="50"/>
      <c r="FM252" s="50"/>
      <c r="FN252" s="50"/>
      <c r="FO252" s="50"/>
      <c r="FP252" s="50"/>
      <c r="FQ252" s="50"/>
      <c r="FR252" s="50"/>
      <c r="FS252" s="50"/>
      <c r="FT252" s="50"/>
      <c r="FU252" s="50"/>
      <c r="FV252" s="50"/>
      <c r="FW252" s="50"/>
      <c r="FX252" s="50"/>
      <c r="FY252" s="50"/>
      <c r="FZ252" s="50"/>
      <c r="GA252" s="50"/>
      <c r="GB252" s="50"/>
      <c r="GC252" s="50"/>
      <c r="GD252" s="50"/>
      <c r="GE252" s="50"/>
      <c r="GF252" s="50"/>
    </row>
    <row r="253" spans="1:188">
      <c r="A253" s="382" t="s">
        <v>1969</v>
      </c>
      <c r="B253" s="799">
        <v>640400300200000</v>
      </c>
      <c r="C253" s="320" t="s">
        <v>336</v>
      </c>
      <c r="D253" s="321"/>
      <c r="E253" s="326">
        <f t="shared" si="3"/>
        <v>0</v>
      </c>
      <c r="F253" s="351"/>
      <c r="G253" s="351"/>
      <c r="H253" s="326">
        <v>0</v>
      </c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  <c r="GE253" s="50"/>
      <c r="GF253" s="50"/>
    </row>
    <row r="254" spans="1:188">
      <c r="A254" s="382" t="s">
        <v>1969</v>
      </c>
      <c r="B254" s="799">
        <v>640400300300000</v>
      </c>
      <c r="C254" s="320" t="s">
        <v>337</v>
      </c>
      <c r="D254" s="321"/>
      <c r="E254" s="326">
        <f t="shared" si="3"/>
        <v>0</v>
      </c>
      <c r="F254" s="351"/>
      <c r="G254" s="351"/>
      <c r="H254" s="326">
        <v>0</v>
      </c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  <c r="GE254" s="50"/>
      <c r="GF254" s="50"/>
    </row>
    <row r="255" spans="1:188">
      <c r="A255" s="382" t="s">
        <v>1969</v>
      </c>
      <c r="B255" s="799">
        <v>640400300400000</v>
      </c>
      <c r="C255" s="320" t="s">
        <v>338</v>
      </c>
      <c r="D255" s="321"/>
      <c r="E255" s="326">
        <f t="shared" si="3"/>
        <v>0</v>
      </c>
      <c r="F255" s="351"/>
      <c r="G255" s="351"/>
      <c r="H255" s="326">
        <v>0</v>
      </c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  <c r="GE255" s="50"/>
      <c r="GF255" s="50"/>
    </row>
    <row r="256" spans="1:188">
      <c r="A256" s="382" t="s">
        <v>1969</v>
      </c>
      <c r="B256" s="799">
        <v>640400300500000</v>
      </c>
      <c r="C256" s="320" t="s">
        <v>339</v>
      </c>
      <c r="D256" s="321"/>
      <c r="E256" s="326">
        <f t="shared" si="3"/>
        <v>9282</v>
      </c>
      <c r="F256" s="351">
        <v>9282</v>
      </c>
      <c r="G256" s="351"/>
      <c r="H256" s="326">
        <v>0</v>
      </c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  <c r="GE256" s="50"/>
      <c r="GF256" s="50"/>
    </row>
    <row r="257" spans="1:188">
      <c r="A257" s="382" t="s">
        <v>1969</v>
      </c>
      <c r="B257" s="799">
        <v>640400300900000</v>
      </c>
      <c r="C257" s="320" t="s">
        <v>333</v>
      </c>
      <c r="D257" s="321"/>
      <c r="E257" s="326">
        <f t="shared" si="3"/>
        <v>1421.32</v>
      </c>
      <c r="F257" s="351">
        <v>1421.32</v>
      </c>
      <c r="G257" s="351"/>
      <c r="H257" s="326">
        <v>2719.09</v>
      </c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  <c r="GE257" s="50"/>
      <c r="GF257" s="50"/>
    </row>
    <row r="258" spans="1:188">
      <c r="A258" s="393" t="s">
        <v>1965</v>
      </c>
      <c r="B258" s="800" t="s">
        <v>340</v>
      </c>
      <c r="C258" s="316" t="s">
        <v>1348</v>
      </c>
      <c r="D258" s="318"/>
      <c r="E258" s="363"/>
      <c r="F258" s="363"/>
      <c r="G258" s="363"/>
      <c r="H258" s="363">
        <v>0</v>
      </c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  <c r="GE258" s="50"/>
      <c r="GF258" s="50"/>
    </row>
    <row r="259" spans="1:188">
      <c r="A259" s="393" t="s">
        <v>1967</v>
      </c>
      <c r="B259" s="800" t="s">
        <v>341</v>
      </c>
      <c r="C259" s="316" t="s">
        <v>1349</v>
      </c>
      <c r="D259" s="318"/>
      <c r="E259" s="363"/>
      <c r="F259" s="363"/>
      <c r="G259" s="363"/>
      <c r="H259" s="363">
        <v>0</v>
      </c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  <c r="GE259" s="50"/>
      <c r="GF259" s="50"/>
    </row>
    <row r="260" spans="1:188" ht="25.5">
      <c r="A260" s="393" t="s">
        <v>1969</v>
      </c>
      <c r="B260" s="800" t="s">
        <v>343</v>
      </c>
      <c r="C260" s="316" t="s">
        <v>1350</v>
      </c>
      <c r="D260" s="318"/>
      <c r="E260" s="363"/>
      <c r="F260" s="363"/>
      <c r="G260" s="363"/>
      <c r="H260" s="363">
        <v>0</v>
      </c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  <c r="FK260" s="50"/>
      <c r="FL260" s="50"/>
      <c r="FM260" s="50"/>
      <c r="FN260" s="50"/>
      <c r="FO260" s="50"/>
      <c r="FP260" s="50"/>
      <c r="FQ260" s="50"/>
      <c r="FR260" s="50"/>
      <c r="FS260" s="50"/>
      <c r="FT260" s="50"/>
      <c r="FU260" s="50"/>
      <c r="FV260" s="50"/>
      <c r="FW260" s="50"/>
      <c r="FX260" s="50"/>
      <c r="FY260" s="50"/>
      <c r="FZ260" s="50"/>
      <c r="GA260" s="50"/>
      <c r="GB260" s="50"/>
      <c r="GC260" s="50"/>
      <c r="GD260" s="50"/>
      <c r="GE260" s="50"/>
      <c r="GF260" s="50"/>
    </row>
    <row r="261" spans="1:188">
      <c r="A261" s="382" t="s">
        <v>1970</v>
      </c>
      <c r="B261" s="799">
        <v>640500100100000</v>
      </c>
      <c r="C261" s="320" t="s">
        <v>342</v>
      </c>
      <c r="D261" s="321"/>
      <c r="E261" s="326">
        <f t="shared" si="3"/>
        <v>0</v>
      </c>
      <c r="F261" s="351"/>
      <c r="G261" s="351"/>
      <c r="H261" s="326">
        <v>0</v>
      </c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0"/>
      <c r="EE261" s="50"/>
      <c r="EF261" s="50"/>
      <c r="EG261" s="50"/>
      <c r="EH261" s="50"/>
      <c r="EI261" s="50"/>
      <c r="EJ261" s="50"/>
      <c r="EK261" s="50"/>
      <c r="EL261" s="50"/>
      <c r="EM261" s="50"/>
      <c r="EN261" s="50"/>
      <c r="EO261" s="50"/>
      <c r="EP261" s="50"/>
      <c r="EQ261" s="50"/>
      <c r="ER261" s="50"/>
      <c r="ES261" s="50"/>
      <c r="ET261" s="50"/>
      <c r="EU261" s="50"/>
      <c r="EV261" s="50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  <c r="FK261" s="50"/>
      <c r="FL261" s="50"/>
      <c r="FM261" s="50"/>
      <c r="FN261" s="50"/>
      <c r="FO261" s="50"/>
      <c r="FP261" s="50"/>
      <c r="FQ261" s="50"/>
      <c r="FR261" s="50"/>
      <c r="FS261" s="50"/>
      <c r="FT261" s="50"/>
      <c r="FU261" s="50"/>
      <c r="FV261" s="50"/>
      <c r="FW261" s="50"/>
      <c r="FX261" s="50"/>
      <c r="FY261" s="50"/>
      <c r="FZ261" s="50"/>
      <c r="GA261" s="50"/>
      <c r="GB261" s="50"/>
      <c r="GC261" s="50"/>
      <c r="GD261" s="50"/>
      <c r="GE261" s="50"/>
      <c r="GF261" s="50"/>
    </row>
    <row r="262" spans="1:188" ht="25.5">
      <c r="A262" s="393" t="s">
        <v>1969</v>
      </c>
      <c r="B262" s="800" t="s">
        <v>345</v>
      </c>
      <c r="C262" s="316" t="s">
        <v>1351</v>
      </c>
      <c r="D262" s="318"/>
      <c r="E262" s="363"/>
      <c r="F262" s="363"/>
      <c r="G262" s="363"/>
      <c r="H262" s="363">
        <v>0</v>
      </c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  <c r="FK262" s="50"/>
      <c r="FL262" s="50"/>
      <c r="FM262" s="50"/>
      <c r="FN262" s="50"/>
      <c r="FO262" s="50"/>
      <c r="FP262" s="50"/>
      <c r="FQ262" s="50"/>
      <c r="FR262" s="50"/>
      <c r="FS262" s="50"/>
      <c r="FT262" s="50"/>
      <c r="FU262" s="50"/>
      <c r="FV262" s="50"/>
      <c r="FW262" s="50"/>
      <c r="FX262" s="50"/>
      <c r="FY262" s="50"/>
      <c r="FZ262" s="50"/>
      <c r="GA262" s="50"/>
      <c r="GB262" s="50"/>
      <c r="GC262" s="50"/>
      <c r="GD262" s="50"/>
      <c r="GE262" s="50"/>
      <c r="GF262" s="50"/>
    </row>
    <row r="263" spans="1:188">
      <c r="A263" s="382" t="s">
        <v>1970</v>
      </c>
      <c r="B263" s="799">
        <v>640500100200000</v>
      </c>
      <c r="C263" s="320" t="s">
        <v>344</v>
      </c>
      <c r="D263" s="321"/>
      <c r="E263" s="326">
        <f t="shared" si="3"/>
        <v>0</v>
      </c>
      <c r="F263" s="351"/>
      <c r="G263" s="351"/>
      <c r="H263" s="326">
        <v>0</v>
      </c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  <c r="FK263" s="50"/>
      <c r="FL263" s="50"/>
      <c r="FM263" s="50"/>
      <c r="FN263" s="50"/>
      <c r="FO263" s="50"/>
      <c r="FP263" s="50"/>
      <c r="FQ263" s="50"/>
      <c r="FR263" s="50"/>
      <c r="FS263" s="50"/>
      <c r="FT263" s="50"/>
      <c r="FU263" s="50"/>
      <c r="FV263" s="50"/>
      <c r="FW263" s="50"/>
      <c r="FX263" s="50"/>
      <c r="FY263" s="50"/>
      <c r="FZ263" s="50"/>
      <c r="GA263" s="50"/>
      <c r="GB263" s="50"/>
      <c r="GC263" s="50"/>
      <c r="GD263" s="50"/>
      <c r="GE263" s="50"/>
      <c r="GF263" s="50"/>
    </row>
    <row r="264" spans="1:188">
      <c r="A264" s="393" t="s">
        <v>1969</v>
      </c>
      <c r="B264" s="800" t="s">
        <v>347</v>
      </c>
      <c r="C264" s="316" t="s">
        <v>1352</v>
      </c>
      <c r="D264" s="318"/>
      <c r="E264" s="363"/>
      <c r="F264" s="363"/>
      <c r="G264" s="363"/>
      <c r="H264" s="363">
        <v>0</v>
      </c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  <c r="FK264" s="50"/>
      <c r="FL264" s="50"/>
      <c r="FM264" s="50"/>
      <c r="FN264" s="50"/>
      <c r="FO264" s="50"/>
      <c r="FP264" s="50"/>
      <c r="FQ264" s="50"/>
      <c r="FR264" s="50"/>
      <c r="FS264" s="50"/>
      <c r="FT264" s="50"/>
      <c r="FU264" s="50"/>
      <c r="FV264" s="50"/>
      <c r="FW264" s="50"/>
      <c r="FX264" s="50"/>
      <c r="FY264" s="50"/>
      <c r="FZ264" s="50"/>
      <c r="GA264" s="50"/>
      <c r="GB264" s="50"/>
      <c r="GC264" s="50"/>
      <c r="GD264" s="50"/>
      <c r="GE264" s="50"/>
      <c r="GF264" s="50"/>
    </row>
    <row r="265" spans="1:188">
      <c r="A265" s="382" t="s">
        <v>1970</v>
      </c>
      <c r="B265" s="799">
        <v>640500100300000</v>
      </c>
      <c r="C265" s="320" t="s">
        <v>346</v>
      </c>
      <c r="D265" s="321"/>
      <c r="E265" s="326">
        <f t="shared" ref="E265:E327" si="4">+F265+G265</f>
        <v>0</v>
      </c>
      <c r="F265" s="351"/>
      <c r="G265" s="351"/>
      <c r="H265" s="326">
        <v>0</v>
      </c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  <c r="FK265" s="50"/>
      <c r="FL265" s="50"/>
      <c r="FM265" s="50"/>
      <c r="FN265" s="50"/>
      <c r="FO265" s="50"/>
      <c r="FP265" s="50"/>
      <c r="FQ265" s="50"/>
      <c r="FR265" s="50"/>
      <c r="FS265" s="50"/>
      <c r="FT265" s="50"/>
      <c r="FU265" s="50"/>
      <c r="FV265" s="50"/>
      <c r="FW265" s="50"/>
      <c r="FX265" s="50"/>
      <c r="FY265" s="50"/>
      <c r="FZ265" s="50"/>
      <c r="GA265" s="50"/>
      <c r="GB265" s="50"/>
      <c r="GC265" s="50"/>
      <c r="GD265" s="50"/>
      <c r="GE265" s="50"/>
      <c r="GF265" s="50"/>
    </row>
    <row r="266" spans="1:188">
      <c r="A266" s="393" t="s">
        <v>1967</v>
      </c>
      <c r="B266" s="800" t="s">
        <v>349</v>
      </c>
      <c r="C266" s="316" t="s">
        <v>1353</v>
      </c>
      <c r="D266" s="318"/>
      <c r="E266" s="363"/>
      <c r="F266" s="363"/>
      <c r="G266" s="363"/>
      <c r="H266" s="363">
        <v>0</v>
      </c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  <c r="FK266" s="50"/>
      <c r="FL266" s="50"/>
      <c r="FM266" s="50"/>
      <c r="FN266" s="50"/>
      <c r="FO266" s="50"/>
      <c r="FP266" s="50"/>
      <c r="FQ266" s="50"/>
      <c r="FR266" s="50"/>
      <c r="FS266" s="50"/>
      <c r="FT266" s="50"/>
      <c r="FU266" s="50"/>
      <c r="FV266" s="50"/>
      <c r="FW266" s="50"/>
      <c r="FX266" s="50"/>
      <c r="FY266" s="50"/>
      <c r="FZ266" s="50"/>
      <c r="GA266" s="50"/>
      <c r="GB266" s="50"/>
      <c r="GC266" s="50"/>
      <c r="GD266" s="50"/>
      <c r="GE266" s="50"/>
      <c r="GF266" s="50"/>
    </row>
    <row r="267" spans="1:188">
      <c r="A267" s="382" t="s">
        <v>1969</v>
      </c>
      <c r="B267" s="799">
        <v>640500150000000</v>
      </c>
      <c r="C267" s="320" t="s">
        <v>348</v>
      </c>
      <c r="D267" s="321"/>
      <c r="E267" s="326">
        <f t="shared" si="4"/>
        <v>0</v>
      </c>
      <c r="F267" s="351"/>
      <c r="G267" s="351"/>
      <c r="H267" s="326">
        <v>0</v>
      </c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  <c r="FK267" s="50"/>
      <c r="FL267" s="50"/>
      <c r="FM267" s="50"/>
      <c r="FN267" s="50"/>
      <c r="FO267" s="50"/>
      <c r="FP267" s="50"/>
      <c r="FQ267" s="50"/>
      <c r="FR267" s="50"/>
      <c r="FS267" s="50"/>
      <c r="FT267" s="50"/>
      <c r="FU267" s="50"/>
      <c r="FV267" s="50"/>
      <c r="FW267" s="50"/>
      <c r="FX267" s="50"/>
      <c r="FY267" s="50"/>
      <c r="FZ267" s="50"/>
      <c r="GA267" s="50"/>
      <c r="GB267" s="50"/>
      <c r="GC267" s="50"/>
      <c r="GD267" s="50"/>
      <c r="GE267" s="50"/>
      <c r="GF267" s="50"/>
    </row>
    <row r="268" spans="1:188">
      <c r="A268" s="393" t="s">
        <v>1967</v>
      </c>
      <c r="B268" s="800" t="s">
        <v>351</v>
      </c>
      <c r="C268" s="316" t="s">
        <v>1354</v>
      </c>
      <c r="D268" s="318"/>
      <c r="E268" s="363"/>
      <c r="F268" s="363"/>
      <c r="G268" s="363"/>
      <c r="H268" s="363">
        <v>0</v>
      </c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  <c r="GE268" s="50"/>
      <c r="GF268" s="50"/>
    </row>
    <row r="269" spans="1:188">
      <c r="A269" s="382" t="s">
        <v>1969</v>
      </c>
      <c r="B269" s="799">
        <v>640500200100000</v>
      </c>
      <c r="C269" s="320" t="s">
        <v>352</v>
      </c>
      <c r="D269" s="321"/>
      <c r="E269" s="326">
        <f t="shared" si="4"/>
        <v>0</v>
      </c>
      <c r="F269" s="351"/>
      <c r="G269" s="351"/>
      <c r="H269" s="326">
        <v>0</v>
      </c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  <c r="GE269" s="50"/>
      <c r="GF269" s="50"/>
    </row>
    <row r="270" spans="1:188">
      <c r="A270" s="382" t="s">
        <v>1969</v>
      </c>
      <c r="B270" s="799">
        <v>640500200150000</v>
      </c>
      <c r="C270" s="320" t="s">
        <v>353</v>
      </c>
      <c r="D270" s="321"/>
      <c r="E270" s="326">
        <f t="shared" si="4"/>
        <v>31141.89</v>
      </c>
      <c r="F270" s="351">
        <v>31141.89</v>
      </c>
      <c r="G270" s="351"/>
      <c r="H270" s="326">
        <v>27071.33</v>
      </c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  <c r="FK270" s="50"/>
      <c r="FL270" s="50"/>
      <c r="FM270" s="50"/>
      <c r="FN270" s="50"/>
      <c r="FO270" s="50"/>
      <c r="FP270" s="50"/>
      <c r="FQ270" s="50"/>
      <c r="FR270" s="50"/>
      <c r="FS270" s="50"/>
      <c r="FT270" s="50"/>
      <c r="FU270" s="50"/>
      <c r="FV270" s="50"/>
      <c r="FW270" s="50"/>
      <c r="FX270" s="50"/>
      <c r="FY270" s="50"/>
      <c r="FZ270" s="50"/>
      <c r="GA270" s="50"/>
      <c r="GB270" s="50"/>
      <c r="GC270" s="50"/>
      <c r="GD270" s="50"/>
      <c r="GE270" s="50"/>
      <c r="GF270" s="50"/>
    </row>
    <row r="271" spans="1:188">
      <c r="A271" s="382" t="s">
        <v>1969</v>
      </c>
      <c r="B271" s="799">
        <v>640500200200000</v>
      </c>
      <c r="C271" s="320" t="s">
        <v>354</v>
      </c>
      <c r="D271" s="321"/>
      <c r="E271" s="326">
        <f t="shared" si="4"/>
        <v>0</v>
      </c>
      <c r="F271" s="351"/>
      <c r="G271" s="351"/>
      <c r="H271" s="326">
        <v>0</v>
      </c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  <c r="FK271" s="50"/>
      <c r="FL271" s="50"/>
      <c r="FM271" s="50"/>
      <c r="FN271" s="50"/>
      <c r="FO271" s="50"/>
      <c r="FP271" s="50"/>
      <c r="FQ271" s="50"/>
      <c r="FR271" s="50"/>
      <c r="FS271" s="50"/>
      <c r="FT271" s="50"/>
      <c r="FU271" s="50"/>
      <c r="FV271" s="50"/>
      <c r="FW271" s="50"/>
      <c r="FX271" s="50"/>
      <c r="FY271" s="50"/>
      <c r="FZ271" s="50"/>
      <c r="GA271" s="50"/>
      <c r="GB271" s="50"/>
      <c r="GC271" s="50"/>
      <c r="GD271" s="50"/>
      <c r="GE271" s="50"/>
      <c r="GF271" s="50"/>
    </row>
    <row r="272" spans="1:188">
      <c r="A272" s="382" t="s">
        <v>1969</v>
      </c>
      <c r="B272" s="799">
        <v>640500200250000</v>
      </c>
      <c r="C272" s="320" t="s">
        <v>355</v>
      </c>
      <c r="D272" s="321"/>
      <c r="E272" s="326">
        <f t="shared" si="4"/>
        <v>20648</v>
      </c>
      <c r="F272" s="351">
        <v>20648</v>
      </c>
      <c r="G272" s="351"/>
      <c r="H272" s="326">
        <v>20586</v>
      </c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  <c r="GE272" s="50"/>
      <c r="GF272" s="50"/>
    </row>
    <row r="273" spans="1:188">
      <c r="A273" s="382" t="s">
        <v>1969</v>
      </c>
      <c r="B273" s="799">
        <v>640500200300000</v>
      </c>
      <c r="C273" s="320" t="s">
        <v>356</v>
      </c>
      <c r="D273" s="321"/>
      <c r="E273" s="326">
        <f t="shared" si="4"/>
        <v>0</v>
      </c>
      <c r="F273" s="351"/>
      <c r="G273" s="351"/>
      <c r="H273" s="326">
        <v>0</v>
      </c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  <c r="FK273" s="50"/>
      <c r="FL273" s="5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50"/>
      <c r="FX273" s="50"/>
      <c r="FY273" s="50"/>
      <c r="FZ273" s="50"/>
      <c r="GA273" s="50"/>
      <c r="GB273" s="50"/>
      <c r="GC273" s="50"/>
      <c r="GD273" s="50"/>
      <c r="GE273" s="50"/>
      <c r="GF273" s="50"/>
    </row>
    <row r="274" spans="1:188">
      <c r="A274" s="382" t="s">
        <v>1969</v>
      </c>
      <c r="B274" s="799">
        <v>640500200350000</v>
      </c>
      <c r="C274" s="320" t="s">
        <v>357</v>
      </c>
      <c r="D274" s="321"/>
      <c r="E274" s="326">
        <f t="shared" si="4"/>
        <v>83551.850000000006</v>
      </c>
      <c r="F274" s="351">
        <v>83551.850000000006</v>
      </c>
      <c r="G274" s="351"/>
      <c r="H274" s="326">
        <v>105226.68</v>
      </c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  <c r="FK274" s="50"/>
      <c r="FL274" s="5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50"/>
      <c r="FX274" s="50"/>
      <c r="FY274" s="50"/>
      <c r="FZ274" s="50"/>
      <c r="GA274" s="50"/>
      <c r="GB274" s="50"/>
      <c r="GC274" s="50"/>
      <c r="GD274" s="50"/>
      <c r="GE274" s="50"/>
      <c r="GF274" s="50"/>
    </row>
    <row r="275" spans="1:188">
      <c r="A275" s="382" t="s">
        <v>1969</v>
      </c>
      <c r="B275" s="799">
        <v>640500200400000</v>
      </c>
      <c r="C275" s="320" t="s">
        <v>358</v>
      </c>
      <c r="D275" s="321"/>
      <c r="E275" s="326">
        <f t="shared" si="4"/>
        <v>0</v>
      </c>
      <c r="F275" s="351"/>
      <c r="G275" s="351"/>
      <c r="H275" s="326">
        <v>0</v>
      </c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  <c r="FK275" s="50"/>
      <c r="FL275" s="5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50"/>
      <c r="FX275" s="50"/>
      <c r="FY275" s="50"/>
      <c r="FZ275" s="50"/>
      <c r="GA275" s="50"/>
      <c r="GB275" s="50"/>
      <c r="GC275" s="50"/>
      <c r="GD275" s="50"/>
      <c r="GE275" s="50"/>
      <c r="GF275" s="50"/>
    </row>
    <row r="276" spans="1:188">
      <c r="A276" s="382" t="s">
        <v>1969</v>
      </c>
      <c r="B276" s="799">
        <v>640500200450000</v>
      </c>
      <c r="C276" s="320" t="s">
        <v>359</v>
      </c>
      <c r="D276" s="321"/>
      <c r="E276" s="326">
        <f t="shared" si="4"/>
        <v>0</v>
      </c>
      <c r="F276" s="351"/>
      <c r="G276" s="351"/>
      <c r="H276" s="326">
        <v>0</v>
      </c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  <c r="FK276" s="50"/>
      <c r="FL276" s="5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50"/>
      <c r="FX276" s="50"/>
      <c r="FY276" s="50"/>
      <c r="FZ276" s="50"/>
      <c r="GA276" s="50"/>
      <c r="GB276" s="50"/>
      <c r="GC276" s="50"/>
      <c r="GD276" s="50"/>
      <c r="GE276" s="50"/>
      <c r="GF276" s="50"/>
    </row>
    <row r="277" spans="1:188">
      <c r="A277" s="382" t="s">
        <v>1969</v>
      </c>
      <c r="B277" s="799">
        <v>640500200500000</v>
      </c>
      <c r="C277" s="320" t="s">
        <v>360</v>
      </c>
      <c r="D277" s="321"/>
      <c r="E277" s="326">
        <f t="shared" si="4"/>
        <v>65037.72</v>
      </c>
      <c r="F277" s="351">
        <v>65037.72</v>
      </c>
      <c r="G277" s="351"/>
      <c r="H277" s="326">
        <v>49231.77</v>
      </c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  <c r="GE277" s="50"/>
      <c r="GF277" s="50"/>
    </row>
    <row r="278" spans="1:188">
      <c r="A278" s="382" t="s">
        <v>1969</v>
      </c>
      <c r="B278" s="799">
        <v>640500200550000</v>
      </c>
      <c r="C278" s="320" t="s">
        <v>361</v>
      </c>
      <c r="D278" s="321"/>
      <c r="E278" s="326">
        <f t="shared" si="4"/>
        <v>0</v>
      </c>
      <c r="F278" s="351"/>
      <c r="G278" s="351"/>
      <c r="H278" s="326">
        <v>0</v>
      </c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  <c r="FK278" s="50"/>
      <c r="FL278" s="5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50"/>
      <c r="FX278" s="50"/>
      <c r="FY278" s="50"/>
      <c r="FZ278" s="50"/>
      <c r="GA278" s="50"/>
      <c r="GB278" s="50"/>
      <c r="GC278" s="50"/>
      <c r="GD278" s="50"/>
      <c r="GE278" s="50"/>
      <c r="GF278" s="50"/>
    </row>
    <row r="279" spans="1:188">
      <c r="A279" s="382" t="s">
        <v>1969</v>
      </c>
      <c r="B279" s="799">
        <v>640500200600000</v>
      </c>
      <c r="C279" s="320" t="s">
        <v>362</v>
      </c>
      <c r="D279" s="321"/>
      <c r="E279" s="326">
        <f t="shared" si="4"/>
        <v>0</v>
      </c>
      <c r="F279" s="351"/>
      <c r="G279" s="351"/>
      <c r="H279" s="326">
        <v>0</v>
      </c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  <c r="FK279" s="50"/>
      <c r="FL279" s="50"/>
      <c r="FM279" s="50"/>
      <c r="FN279" s="50"/>
      <c r="FO279" s="50"/>
      <c r="FP279" s="50"/>
      <c r="FQ279" s="50"/>
      <c r="FR279" s="50"/>
      <c r="FS279" s="50"/>
      <c r="FT279" s="50"/>
      <c r="FU279" s="50"/>
      <c r="FV279" s="50"/>
      <c r="FW279" s="50"/>
      <c r="FX279" s="50"/>
      <c r="FY279" s="50"/>
      <c r="FZ279" s="50"/>
      <c r="GA279" s="50"/>
      <c r="GB279" s="50"/>
      <c r="GC279" s="50"/>
      <c r="GD279" s="50"/>
      <c r="GE279" s="50"/>
      <c r="GF279" s="50"/>
    </row>
    <row r="280" spans="1:188">
      <c r="A280" s="382" t="s">
        <v>1969</v>
      </c>
      <c r="B280" s="799">
        <v>640500200650000</v>
      </c>
      <c r="C280" s="320" t="s">
        <v>363</v>
      </c>
      <c r="D280" s="321"/>
      <c r="E280" s="326">
        <f t="shared" si="4"/>
        <v>0</v>
      </c>
      <c r="F280" s="351"/>
      <c r="G280" s="351"/>
      <c r="H280" s="326">
        <v>0</v>
      </c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  <c r="FK280" s="50"/>
      <c r="FL280" s="50"/>
      <c r="FM280" s="50"/>
      <c r="FN280" s="50"/>
      <c r="FO280" s="50"/>
      <c r="FP280" s="50"/>
      <c r="FQ280" s="50"/>
      <c r="FR280" s="50"/>
      <c r="FS280" s="50"/>
      <c r="FT280" s="50"/>
      <c r="FU280" s="50"/>
      <c r="FV280" s="50"/>
      <c r="FW280" s="50"/>
      <c r="FX280" s="50"/>
      <c r="FY280" s="50"/>
      <c r="FZ280" s="50"/>
      <c r="GA280" s="50"/>
      <c r="GB280" s="50"/>
      <c r="GC280" s="50"/>
      <c r="GD280" s="50"/>
      <c r="GE280" s="50"/>
      <c r="GF280" s="50"/>
    </row>
    <row r="281" spans="1:188">
      <c r="A281" s="382" t="s">
        <v>1969</v>
      </c>
      <c r="B281" s="799">
        <v>640500200900000</v>
      </c>
      <c r="C281" s="320" t="s">
        <v>350</v>
      </c>
      <c r="D281" s="321"/>
      <c r="E281" s="326">
        <f t="shared" si="4"/>
        <v>765678.51</v>
      </c>
      <c r="F281" s="351">
        <v>765678.51</v>
      </c>
      <c r="G281" s="351"/>
      <c r="H281" s="326">
        <v>992267</v>
      </c>
      <c r="I281" s="50"/>
      <c r="J281" s="81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  <c r="FX281" s="50"/>
      <c r="FY281" s="50"/>
      <c r="FZ281" s="50"/>
      <c r="GA281" s="50"/>
      <c r="GB281" s="50"/>
      <c r="GC281" s="50"/>
      <c r="GD281" s="50"/>
      <c r="GE281" s="50"/>
      <c r="GF281" s="50"/>
    </row>
    <row r="282" spans="1:188">
      <c r="A282" s="393" t="s">
        <v>1963</v>
      </c>
      <c r="B282" s="800" t="s">
        <v>364</v>
      </c>
      <c r="C282" s="316" t="s">
        <v>2040</v>
      </c>
      <c r="D282" s="318"/>
      <c r="E282" s="363"/>
      <c r="F282" s="363"/>
      <c r="G282" s="363"/>
      <c r="H282" s="363">
        <v>0</v>
      </c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50"/>
      <c r="DR282" s="50"/>
      <c r="DS282" s="50"/>
      <c r="DT282" s="50"/>
      <c r="DU282" s="50"/>
      <c r="DV282" s="50"/>
      <c r="DW282" s="50"/>
      <c r="DX282" s="50"/>
      <c r="DY282" s="50"/>
      <c r="DZ282" s="50"/>
      <c r="EA282" s="50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  <c r="FK282" s="50"/>
      <c r="FL282" s="50"/>
      <c r="FM282" s="50"/>
      <c r="FN282" s="50"/>
      <c r="FO282" s="50"/>
      <c r="FP282" s="50"/>
      <c r="FQ282" s="50"/>
      <c r="FR282" s="50"/>
      <c r="FS282" s="50"/>
      <c r="FT282" s="50"/>
      <c r="FU282" s="50"/>
      <c r="FV282" s="50"/>
      <c r="FW282" s="50"/>
      <c r="FX282" s="50"/>
      <c r="FY282" s="50"/>
      <c r="FZ282" s="50"/>
      <c r="GA282" s="50"/>
      <c r="GB282" s="50"/>
      <c r="GC282" s="50"/>
      <c r="GD282" s="50"/>
      <c r="GE282" s="50"/>
      <c r="GF282" s="50"/>
    </row>
    <row r="283" spans="1:188" ht="25.5">
      <c r="A283" s="393" t="s">
        <v>1965</v>
      </c>
      <c r="B283" s="800" t="s">
        <v>365</v>
      </c>
      <c r="C283" s="316" t="s">
        <v>2041</v>
      </c>
      <c r="D283" s="318"/>
      <c r="E283" s="363"/>
      <c r="F283" s="363"/>
      <c r="G283" s="363"/>
      <c r="H283" s="363">
        <v>0</v>
      </c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  <c r="FK283" s="50"/>
      <c r="FL283" s="50"/>
      <c r="FM283" s="50"/>
      <c r="FN283" s="50"/>
      <c r="FO283" s="50"/>
      <c r="FP283" s="50"/>
      <c r="FQ283" s="50"/>
      <c r="FR283" s="50"/>
      <c r="FS283" s="50"/>
      <c r="FT283" s="50"/>
      <c r="FU283" s="50"/>
      <c r="FV283" s="50"/>
      <c r="FW283" s="50"/>
      <c r="FX283" s="50"/>
      <c r="FY283" s="50"/>
      <c r="FZ283" s="50"/>
      <c r="GA283" s="50"/>
      <c r="GB283" s="50"/>
      <c r="GC283" s="50"/>
      <c r="GD283" s="50"/>
      <c r="GE283" s="50"/>
      <c r="GF283" s="50"/>
    </row>
    <row r="284" spans="1:188" ht="24">
      <c r="A284" s="382" t="s">
        <v>1967</v>
      </c>
      <c r="B284" s="799">
        <v>650100000000000</v>
      </c>
      <c r="C284" s="320" t="s">
        <v>1822</v>
      </c>
      <c r="D284" s="321"/>
      <c r="E284" s="326">
        <f t="shared" si="4"/>
        <v>0</v>
      </c>
      <c r="F284" s="351"/>
      <c r="G284" s="351"/>
      <c r="H284" s="326">
        <v>0</v>
      </c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  <c r="FK284" s="50"/>
      <c r="FL284" s="50"/>
      <c r="FM284" s="50"/>
      <c r="FN284" s="50"/>
      <c r="FO284" s="50"/>
      <c r="FP284" s="50"/>
      <c r="FQ284" s="50"/>
      <c r="FR284" s="50"/>
      <c r="FS284" s="50"/>
      <c r="FT284" s="50"/>
      <c r="FU284" s="50"/>
      <c r="FV284" s="50"/>
      <c r="FW284" s="50"/>
      <c r="FX284" s="50"/>
      <c r="FY284" s="50"/>
      <c r="FZ284" s="50"/>
      <c r="GA284" s="50"/>
      <c r="GB284" s="50"/>
      <c r="GC284" s="50"/>
      <c r="GD284" s="50"/>
      <c r="GE284" s="50"/>
      <c r="GF284" s="50"/>
    </row>
    <row r="285" spans="1:188" ht="25.5">
      <c r="A285" s="393" t="s">
        <v>1965</v>
      </c>
      <c r="B285" s="800" t="s">
        <v>367</v>
      </c>
      <c r="C285" s="316" t="s">
        <v>2042</v>
      </c>
      <c r="D285" s="318"/>
      <c r="E285" s="363"/>
      <c r="F285" s="363"/>
      <c r="G285" s="363"/>
      <c r="H285" s="363">
        <v>0</v>
      </c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  <c r="FK285" s="50"/>
      <c r="FL285" s="50"/>
      <c r="FM285" s="50"/>
      <c r="FN285" s="50"/>
      <c r="FO285" s="50"/>
      <c r="FP285" s="50"/>
      <c r="FQ285" s="50"/>
      <c r="FR285" s="50"/>
      <c r="FS285" s="50"/>
      <c r="FT285" s="50"/>
      <c r="FU285" s="50"/>
      <c r="FV285" s="50"/>
      <c r="FW285" s="50"/>
      <c r="FX285" s="50"/>
      <c r="FY285" s="50"/>
      <c r="FZ285" s="50"/>
      <c r="GA285" s="50"/>
      <c r="GB285" s="50"/>
      <c r="GC285" s="50"/>
      <c r="GD285" s="50"/>
      <c r="GE285" s="50"/>
      <c r="GF285" s="50"/>
    </row>
    <row r="286" spans="1:188">
      <c r="A286" s="382" t="s">
        <v>1967</v>
      </c>
      <c r="B286" s="799">
        <v>650200000000000</v>
      </c>
      <c r="C286" s="320" t="s">
        <v>366</v>
      </c>
      <c r="D286" s="321"/>
      <c r="E286" s="326">
        <f t="shared" si="4"/>
        <v>0</v>
      </c>
      <c r="F286" s="351"/>
      <c r="G286" s="351"/>
      <c r="H286" s="326">
        <v>0</v>
      </c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  <c r="FK286" s="50"/>
      <c r="FL286" s="50"/>
      <c r="FM286" s="50"/>
      <c r="FN286" s="50"/>
      <c r="FO286" s="50"/>
      <c r="FP286" s="50"/>
      <c r="FQ286" s="50"/>
      <c r="FR286" s="50"/>
      <c r="FS286" s="50"/>
      <c r="FT286" s="50"/>
      <c r="FU286" s="50"/>
      <c r="FV286" s="50"/>
      <c r="FW286" s="50"/>
      <c r="FX286" s="50"/>
      <c r="FY286" s="50"/>
      <c r="FZ286" s="50"/>
      <c r="GA286" s="50"/>
      <c r="GB286" s="50"/>
      <c r="GC286" s="50"/>
      <c r="GD286" s="50"/>
      <c r="GE286" s="50"/>
      <c r="GF286" s="50"/>
    </row>
    <row r="287" spans="1:188">
      <c r="A287" s="393" t="s">
        <v>1965</v>
      </c>
      <c r="B287" s="800" t="s">
        <v>369</v>
      </c>
      <c r="C287" s="316" t="s">
        <v>2043</v>
      </c>
      <c r="D287" s="318"/>
      <c r="E287" s="363"/>
      <c r="F287" s="363"/>
      <c r="G287" s="363"/>
      <c r="H287" s="363">
        <v>0</v>
      </c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  <c r="FK287" s="50"/>
      <c r="FL287" s="50"/>
      <c r="FM287" s="50"/>
      <c r="FN287" s="50"/>
      <c r="FO287" s="50"/>
      <c r="FP287" s="50"/>
      <c r="FQ287" s="50"/>
      <c r="FR287" s="50"/>
      <c r="FS287" s="50"/>
      <c r="FT287" s="50"/>
      <c r="FU287" s="50"/>
      <c r="FV287" s="50"/>
      <c r="FW287" s="50"/>
      <c r="FX287" s="50"/>
      <c r="FY287" s="50"/>
      <c r="FZ287" s="50"/>
      <c r="GA287" s="50"/>
      <c r="GB287" s="50"/>
      <c r="GC287" s="50"/>
      <c r="GD287" s="50"/>
      <c r="GE287" s="50"/>
      <c r="GF287" s="50"/>
    </row>
    <row r="288" spans="1:188">
      <c r="A288" s="382" t="s">
        <v>1967</v>
      </c>
      <c r="B288" s="799">
        <v>650300000000000</v>
      </c>
      <c r="C288" s="320" t="s">
        <v>368</v>
      </c>
      <c r="D288" s="321"/>
      <c r="E288" s="326">
        <f t="shared" si="4"/>
        <v>0</v>
      </c>
      <c r="F288" s="351"/>
      <c r="G288" s="351"/>
      <c r="H288" s="326">
        <v>0</v>
      </c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50"/>
      <c r="FX288" s="50"/>
      <c r="FY288" s="50"/>
      <c r="FZ288" s="50"/>
      <c r="GA288" s="50"/>
      <c r="GB288" s="50"/>
      <c r="GC288" s="50"/>
      <c r="GD288" s="50"/>
      <c r="GE288" s="50"/>
      <c r="GF288" s="50"/>
    </row>
    <row r="289" spans="1:188">
      <c r="A289" s="393" t="s">
        <v>1963</v>
      </c>
      <c r="B289" s="800" t="s">
        <v>370</v>
      </c>
      <c r="C289" s="316" t="s">
        <v>2044</v>
      </c>
      <c r="D289" s="318"/>
      <c r="E289" s="363"/>
      <c r="F289" s="363"/>
      <c r="G289" s="363"/>
      <c r="H289" s="363">
        <v>0</v>
      </c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0"/>
      <c r="EE289" s="50"/>
      <c r="EF289" s="50"/>
      <c r="EG289" s="50"/>
      <c r="EH289" s="50"/>
      <c r="EI289" s="50"/>
      <c r="EJ289" s="50"/>
      <c r="EK289" s="50"/>
      <c r="EL289" s="50"/>
      <c r="EM289" s="50"/>
      <c r="EN289" s="50"/>
      <c r="EO289" s="50"/>
      <c r="EP289" s="50"/>
      <c r="EQ289" s="50"/>
      <c r="ER289" s="50"/>
      <c r="ES289" s="50"/>
      <c r="ET289" s="50"/>
      <c r="EU289" s="50"/>
      <c r="EV289" s="50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  <c r="FG289" s="50"/>
      <c r="FH289" s="50"/>
      <c r="FI289" s="50"/>
      <c r="FJ289" s="50"/>
      <c r="FK289" s="50"/>
      <c r="FL289" s="50"/>
      <c r="FM289" s="50"/>
      <c r="FN289" s="50"/>
      <c r="FO289" s="50"/>
      <c r="FP289" s="50"/>
      <c r="FQ289" s="50"/>
      <c r="FR289" s="50"/>
      <c r="FS289" s="50"/>
      <c r="FT289" s="50"/>
      <c r="FU289" s="50"/>
      <c r="FV289" s="50"/>
      <c r="FW289" s="50"/>
      <c r="FX289" s="50"/>
      <c r="FY289" s="50"/>
      <c r="FZ289" s="50"/>
      <c r="GA289" s="50"/>
      <c r="GB289" s="50"/>
      <c r="GC289" s="50"/>
      <c r="GD289" s="50"/>
      <c r="GE289" s="50"/>
      <c r="GF289" s="50"/>
    </row>
    <row r="290" spans="1:188">
      <c r="A290" s="393" t="s">
        <v>1965</v>
      </c>
      <c r="B290" s="800" t="s">
        <v>372</v>
      </c>
      <c r="C290" s="316" t="s">
        <v>1360</v>
      </c>
      <c r="D290" s="318"/>
      <c r="E290" s="363"/>
      <c r="F290" s="363"/>
      <c r="G290" s="363"/>
      <c r="H290" s="363">
        <v>0</v>
      </c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0"/>
      <c r="EE290" s="50"/>
      <c r="EF290" s="50"/>
      <c r="EG290" s="50"/>
      <c r="EH290" s="50"/>
      <c r="EI290" s="50"/>
      <c r="EJ290" s="50"/>
      <c r="EK290" s="50"/>
      <c r="EL290" s="50"/>
      <c r="EM290" s="50"/>
      <c r="EN290" s="50"/>
      <c r="EO290" s="50"/>
      <c r="EP290" s="50"/>
      <c r="EQ290" s="50"/>
      <c r="ER290" s="50"/>
      <c r="ES290" s="50"/>
      <c r="ET290" s="50"/>
      <c r="EU290" s="50"/>
      <c r="EV290" s="50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  <c r="FG290" s="50"/>
      <c r="FH290" s="50"/>
      <c r="FI290" s="50"/>
      <c r="FJ290" s="50"/>
      <c r="FK290" s="50"/>
      <c r="FL290" s="50"/>
      <c r="FM290" s="50"/>
      <c r="FN290" s="50"/>
      <c r="FO290" s="50"/>
      <c r="FP290" s="50"/>
      <c r="FQ290" s="50"/>
      <c r="FR290" s="50"/>
      <c r="FS290" s="50"/>
      <c r="FT290" s="50"/>
      <c r="FU290" s="50"/>
      <c r="FV290" s="50"/>
      <c r="FW290" s="50"/>
      <c r="FX290" s="50"/>
      <c r="FY290" s="50"/>
      <c r="FZ290" s="50"/>
      <c r="GA290" s="50"/>
      <c r="GB290" s="50"/>
      <c r="GC290" s="50"/>
      <c r="GD290" s="50"/>
      <c r="GE290" s="50"/>
      <c r="GF290" s="50"/>
    </row>
    <row r="291" spans="1:188">
      <c r="A291" s="382" t="s">
        <v>1967</v>
      </c>
      <c r="B291" s="799">
        <v>660100000000000</v>
      </c>
      <c r="C291" s="320" t="s">
        <v>371</v>
      </c>
      <c r="D291" s="321"/>
      <c r="E291" s="326">
        <f t="shared" si="4"/>
        <v>0</v>
      </c>
      <c r="F291" s="351"/>
      <c r="G291" s="351"/>
      <c r="H291" s="326">
        <v>0</v>
      </c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0"/>
      <c r="EE291" s="50"/>
      <c r="EF291" s="50"/>
      <c r="EG291" s="50"/>
      <c r="EH291" s="50"/>
      <c r="EI291" s="50"/>
      <c r="EJ291" s="50"/>
      <c r="EK291" s="50"/>
      <c r="EL291" s="50"/>
      <c r="EM291" s="50"/>
      <c r="EN291" s="50"/>
      <c r="EO291" s="50"/>
      <c r="EP291" s="50"/>
      <c r="EQ291" s="50"/>
      <c r="ER291" s="50"/>
      <c r="ES291" s="50"/>
      <c r="ET291" s="50"/>
      <c r="EU291" s="50"/>
      <c r="EV291" s="50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  <c r="FG291" s="50"/>
      <c r="FH291" s="50"/>
      <c r="FI291" s="50"/>
      <c r="FJ291" s="50"/>
      <c r="FK291" s="50"/>
      <c r="FL291" s="50"/>
      <c r="FM291" s="50"/>
      <c r="FN291" s="50"/>
      <c r="FO291" s="50"/>
      <c r="FP291" s="50"/>
      <c r="FQ291" s="50"/>
      <c r="FR291" s="50"/>
      <c r="FS291" s="50"/>
      <c r="FT291" s="50"/>
      <c r="FU291" s="50"/>
      <c r="FV291" s="50"/>
      <c r="FW291" s="50"/>
      <c r="FX291" s="50"/>
      <c r="FY291" s="50"/>
      <c r="FZ291" s="50"/>
      <c r="GA291" s="50"/>
      <c r="GB291" s="50"/>
      <c r="GC291" s="50"/>
      <c r="GD291" s="50"/>
      <c r="GE291" s="50"/>
      <c r="GF291" s="50"/>
    </row>
    <row r="292" spans="1:188">
      <c r="A292" s="393" t="s">
        <v>1965</v>
      </c>
      <c r="B292" s="800" t="s">
        <v>374</v>
      </c>
      <c r="C292" s="316" t="s">
        <v>2045</v>
      </c>
      <c r="D292" s="318"/>
      <c r="E292" s="363"/>
      <c r="F292" s="363"/>
      <c r="G292" s="363"/>
      <c r="H292" s="363">
        <v>0</v>
      </c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0"/>
      <c r="EE292" s="50"/>
      <c r="EF292" s="50"/>
      <c r="EG292" s="50"/>
      <c r="EH292" s="50"/>
      <c r="EI292" s="50"/>
      <c r="EJ292" s="50"/>
      <c r="EK292" s="50"/>
      <c r="EL292" s="50"/>
      <c r="EM292" s="50"/>
      <c r="EN292" s="50"/>
      <c r="EO292" s="50"/>
      <c r="EP292" s="50"/>
      <c r="EQ292" s="50"/>
      <c r="ER292" s="50"/>
      <c r="ES292" s="50"/>
      <c r="ET292" s="50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50"/>
      <c r="FJ292" s="50"/>
      <c r="FK292" s="50"/>
      <c r="FL292" s="50"/>
      <c r="FM292" s="50"/>
      <c r="FN292" s="50"/>
      <c r="FO292" s="50"/>
      <c r="FP292" s="50"/>
      <c r="FQ292" s="50"/>
      <c r="FR292" s="50"/>
      <c r="FS292" s="50"/>
      <c r="FT292" s="50"/>
      <c r="FU292" s="50"/>
      <c r="FV292" s="50"/>
      <c r="FW292" s="50"/>
      <c r="FX292" s="50"/>
      <c r="FY292" s="50"/>
      <c r="FZ292" s="50"/>
      <c r="GA292" s="50"/>
      <c r="GB292" s="50"/>
      <c r="GC292" s="50"/>
      <c r="GD292" s="50"/>
      <c r="GE292" s="50"/>
      <c r="GF292" s="50"/>
    </row>
    <row r="293" spans="1:188">
      <c r="A293" s="382" t="s">
        <v>1967</v>
      </c>
      <c r="B293" s="799">
        <v>660200000000000</v>
      </c>
      <c r="C293" s="320" t="s">
        <v>373</v>
      </c>
      <c r="D293" s="321"/>
      <c r="E293" s="326">
        <f t="shared" si="4"/>
        <v>186482.77</v>
      </c>
      <c r="F293" s="351">
        <v>186482.77</v>
      </c>
      <c r="G293" s="351"/>
      <c r="H293" s="326">
        <v>162903.45000000001</v>
      </c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0"/>
      <c r="EE293" s="50"/>
      <c r="EF293" s="50"/>
      <c r="EG293" s="50"/>
      <c r="EH293" s="50"/>
      <c r="EI293" s="50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50"/>
      <c r="FJ293" s="50"/>
      <c r="FK293" s="50"/>
      <c r="FL293" s="50"/>
      <c r="FM293" s="50"/>
      <c r="FN293" s="50"/>
      <c r="FO293" s="50"/>
      <c r="FP293" s="50"/>
      <c r="FQ293" s="50"/>
      <c r="FR293" s="50"/>
      <c r="FS293" s="50"/>
      <c r="FT293" s="50"/>
      <c r="FU293" s="50"/>
      <c r="FV293" s="50"/>
      <c r="FW293" s="50"/>
      <c r="FX293" s="50"/>
      <c r="FY293" s="50"/>
      <c r="FZ293" s="50"/>
      <c r="GA293" s="50"/>
      <c r="GB293" s="50"/>
      <c r="GC293" s="50"/>
      <c r="GD293" s="50"/>
      <c r="GE293" s="50"/>
      <c r="GF293" s="50"/>
    </row>
    <row r="294" spans="1:188">
      <c r="A294" s="393" t="s">
        <v>1965</v>
      </c>
      <c r="B294" s="800" t="s">
        <v>376</v>
      </c>
      <c r="C294" s="316" t="s">
        <v>2046</v>
      </c>
      <c r="D294" s="318"/>
      <c r="E294" s="363"/>
      <c r="F294" s="363"/>
      <c r="G294" s="363"/>
      <c r="H294" s="363">
        <v>0</v>
      </c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  <c r="FG294" s="50"/>
      <c r="FH294" s="50"/>
      <c r="FI294" s="50"/>
      <c r="FJ294" s="50"/>
      <c r="FK294" s="50"/>
      <c r="FL294" s="50"/>
      <c r="FM294" s="50"/>
      <c r="FN294" s="50"/>
      <c r="FO294" s="50"/>
      <c r="FP294" s="50"/>
      <c r="FQ294" s="50"/>
      <c r="FR294" s="50"/>
      <c r="FS294" s="50"/>
      <c r="FT294" s="50"/>
      <c r="FU294" s="50"/>
      <c r="FV294" s="50"/>
      <c r="FW294" s="50"/>
      <c r="FX294" s="50"/>
      <c r="FY294" s="50"/>
      <c r="FZ294" s="50"/>
      <c r="GA294" s="50"/>
      <c r="GB294" s="50"/>
      <c r="GC294" s="50"/>
      <c r="GD294" s="50"/>
      <c r="GE294" s="50"/>
      <c r="GF294" s="50"/>
    </row>
    <row r="295" spans="1:188">
      <c r="A295" s="382" t="s">
        <v>1967</v>
      </c>
      <c r="B295" s="799">
        <v>660300000000000</v>
      </c>
      <c r="C295" s="320" t="s">
        <v>375</v>
      </c>
      <c r="D295" s="321"/>
      <c r="E295" s="326">
        <f t="shared" si="4"/>
        <v>0</v>
      </c>
      <c r="F295" s="351"/>
      <c r="G295" s="351"/>
      <c r="H295" s="326">
        <v>0</v>
      </c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  <c r="FG295" s="50"/>
      <c r="FH295" s="50"/>
      <c r="FI295" s="50"/>
      <c r="FJ295" s="50"/>
      <c r="FK295" s="50"/>
      <c r="FL295" s="50"/>
      <c r="FM295" s="50"/>
      <c r="FN295" s="50"/>
      <c r="FO295" s="50"/>
      <c r="FP295" s="50"/>
      <c r="FQ295" s="50"/>
      <c r="FR295" s="50"/>
      <c r="FS295" s="50"/>
      <c r="FT295" s="50"/>
      <c r="FU295" s="50"/>
      <c r="FV295" s="50"/>
      <c r="FW295" s="50"/>
      <c r="FX295" s="50"/>
      <c r="FY295" s="50"/>
      <c r="FZ295" s="50"/>
      <c r="GA295" s="50"/>
      <c r="GB295" s="50"/>
      <c r="GC295" s="50"/>
      <c r="GD295" s="50"/>
      <c r="GE295" s="50"/>
      <c r="GF295" s="50"/>
    </row>
    <row r="296" spans="1:188" ht="25.5">
      <c r="A296" s="393" t="s">
        <v>1965</v>
      </c>
      <c r="B296" s="800" t="s">
        <v>378</v>
      </c>
      <c r="C296" s="316" t="s">
        <v>1363</v>
      </c>
      <c r="D296" s="318"/>
      <c r="E296" s="363"/>
      <c r="F296" s="363"/>
      <c r="G296" s="363"/>
      <c r="H296" s="363">
        <v>0</v>
      </c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50"/>
      <c r="FJ296" s="50"/>
      <c r="FK296" s="50"/>
      <c r="FL296" s="50"/>
      <c r="FM296" s="50"/>
      <c r="FN296" s="50"/>
      <c r="FO296" s="50"/>
      <c r="FP296" s="50"/>
      <c r="FQ296" s="50"/>
      <c r="FR296" s="50"/>
      <c r="FS296" s="50"/>
      <c r="FT296" s="50"/>
      <c r="FU296" s="50"/>
      <c r="FV296" s="50"/>
      <c r="FW296" s="50"/>
      <c r="FX296" s="50"/>
      <c r="FY296" s="50"/>
      <c r="FZ296" s="50"/>
      <c r="GA296" s="50"/>
      <c r="GB296" s="50"/>
      <c r="GC296" s="50"/>
      <c r="GD296" s="50"/>
      <c r="GE296" s="50"/>
      <c r="GF296" s="50"/>
    </row>
    <row r="297" spans="1:188">
      <c r="A297" s="382" t="s">
        <v>1967</v>
      </c>
      <c r="B297" s="799">
        <v>660400000000000</v>
      </c>
      <c r="C297" s="320" t="s">
        <v>377</v>
      </c>
      <c r="D297" s="321"/>
      <c r="E297" s="326">
        <f t="shared" si="4"/>
        <v>0</v>
      </c>
      <c r="F297" s="351"/>
      <c r="G297" s="351"/>
      <c r="H297" s="326">
        <v>0</v>
      </c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50"/>
      <c r="FJ297" s="50"/>
      <c r="FK297" s="50"/>
      <c r="FL297" s="50"/>
      <c r="FM297" s="50"/>
      <c r="FN297" s="50"/>
      <c r="FO297" s="50"/>
      <c r="FP297" s="50"/>
      <c r="FQ297" s="50"/>
      <c r="FR297" s="50"/>
      <c r="FS297" s="50"/>
      <c r="FT297" s="50"/>
      <c r="FU297" s="50"/>
      <c r="FV297" s="50"/>
      <c r="FW297" s="50"/>
      <c r="FX297" s="50"/>
      <c r="FY297" s="50"/>
      <c r="FZ297" s="50"/>
      <c r="GA297" s="50"/>
      <c r="GB297" s="50"/>
      <c r="GC297" s="50"/>
      <c r="GD297" s="50"/>
      <c r="GE297" s="50"/>
      <c r="GF297" s="50"/>
    </row>
    <row r="298" spans="1:188" ht="25.5">
      <c r="A298" s="393" t="s">
        <v>1965</v>
      </c>
      <c r="B298" s="800" t="s">
        <v>380</v>
      </c>
      <c r="C298" s="316" t="s">
        <v>1364</v>
      </c>
      <c r="D298" s="318"/>
      <c r="E298" s="363"/>
      <c r="F298" s="363"/>
      <c r="G298" s="363"/>
      <c r="H298" s="363">
        <v>0</v>
      </c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50"/>
      <c r="FK298" s="50"/>
      <c r="FL298" s="50"/>
      <c r="FM298" s="50"/>
      <c r="FN298" s="50"/>
      <c r="FO298" s="50"/>
      <c r="FP298" s="50"/>
      <c r="FQ298" s="50"/>
      <c r="FR298" s="50"/>
      <c r="FS298" s="50"/>
      <c r="FT298" s="50"/>
      <c r="FU298" s="50"/>
      <c r="FV298" s="50"/>
      <c r="FW298" s="50"/>
      <c r="FX298" s="50"/>
      <c r="FY298" s="50"/>
      <c r="FZ298" s="50"/>
      <c r="GA298" s="50"/>
      <c r="GB298" s="50"/>
      <c r="GC298" s="50"/>
      <c r="GD298" s="50"/>
      <c r="GE298" s="50"/>
      <c r="GF298" s="50"/>
    </row>
    <row r="299" spans="1:188" ht="24">
      <c r="A299" s="382" t="s">
        <v>1967</v>
      </c>
      <c r="B299" s="799">
        <v>660500000000000</v>
      </c>
      <c r="C299" s="320" t="s">
        <v>379</v>
      </c>
      <c r="D299" s="321"/>
      <c r="E299" s="326">
        <f t="shared" si="4"/>
        <v>0</v>
      </c>
      <c r="F299" s="351"/>
      <c r="G299" s="351"/>
      <c r="H299" s="326">
        <v>0</v>
      </c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50"/>
      <c r="FK299" s="50"/>
      <c r="FL299" s="50"/>
      <c r="FM299" s="50"/>
      <c r="FN299" s="50"/>
      <c r="FO299" s="50"/>
      <c r="FP299" s="50"/>
      <c r="FQ299" s="50"/>
      <c r="FR299" s="50"/>
      <c r="FS299" s="50"/>
      <c r="FT299" s="50"/>
      <c r="FU299" s="50"/>
      <c r="FV299" s="50"/>
      <c r="FW299" s="50"/>
      <c r="FX299" s="50"/>
      <c r="FY299" s="50"/>
      <c r="FZ299" s="50"/>
      <c r="GA299" s="50"/>
      <c r="GB299" s="50"/>
      <c r="GC299" s="50"/>
      <c r="GD299" s="50"/>
      <c r="GE299" s="50"/>
      <c r="GF299" s="50"/>
    </row>
    <row r="300" spans="1:188">
      <c r="A300" s="393" t="s">
        <v>1965</v>
      </c>
      <c r="B300" s="800" t="s">
        <v>382</v>
      </c>
      <c r="C300" s="316" t="s">
        <v>1365</v>
      </c>
      <c r="D300" s="318"/>
      <c r="E300" s="363"/>
      <c r="F300" s="363"/>
      <c r="G300" s="363"/>
      <c r="H300" s="363">
        <v>0</v>
      </c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/>
      <c r="CZ300" s="50"/>
      <c r="DA300" s="50"/>
      <c r="DB300" s="50"/>
      <c r="DC300" s="50"/>
      <c r="DD300" s="50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50"/>
      <c r="DR300" s="50"/>
      <c r="DS300" s="50"/>
      <c r="DT300" s="50"/>
      <c r="DU300" s="50"/>
      <c r="DV300" s="50"/>
      <c r="DW300" s="50"/>
      <c r="DX300" s="50"/>
      <c r="DY300" s="50"/>
      <c r="DZ300" s="50"/>
      <c r="EA300" s="50"/>
      <c r="EB300" s="50"/>
      <c r="EC300" s="50"/>
      <c r="ED300" s="50"/>
      <c r="EE300" s="50"/>
      <c r="EF300" s="50"/>
      <c r="EG300" s="50"/>
      <c r="EH300" s="50"/>
      <c r="EI300" s="50"/>
      <c r="EJ300" s="50"/>
      <c r="EK300" s="50"/>
      <c r="EL300" s="50"/>
      <c r="EM300" s="50"/>
      <c r="EN300" s="50"/>
      <c r="EO300" s="50"/>
      <c r="EP300" s="50"/>
      <c r="EQ300" s="50"/>
      <c r="ER300" s="50"/>
      <c r="ES300" s="50"/>
      <c r="ET300" s="50"/>
      <c r="EU300" s="50"/>
      <c r="EV300" s="50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50"/>
      <c r="FK300" s="50"/>
      <c r="FL300" s="50"/>
      <c r="FM300" s="50"/>
      <c r="FN300" s="50"/>
      <c r="FO300" s="50"/>
      <c r="FP300" s="50"/>
      <c r="FQ300" s="50"/>
      <c r="FR300" s="50"/>
      <c r="FS300" s="50"/>
      <c r="FT300" s="50"/>
      <c r="FU300" s="50"/>
      <c r="FV300" s="50"/>
      <c r="FW300" s="50"/>
      <c r="FX300" s="50"/>
      <c r="FY300" s="50"/>
      <c r="FZ300" s="50"/>
      <c r="GA300" s="50"/>
      <c r="GB300" s="50"/>
      <c r="GC300" s="50"/>
      <c r="GD300" s="50"/>
      <c r="GE300" s="50"/>
      <c r="GF300" s="50"/>
    </row>
    <row r="301" spans="1:188">
      <c r="A301" s="382" t="s">
        <v>1967</v>
      </c>
      <c r="B301" s="799">
        <v>660600000000000</v>
      </c>
      <c r="C301" s="320" t="s">
        <v>381</v>
      </c>
      <c r="D301" s="321"/>
      <c r="E301" s="326">
        <f t="shared" si="4"/>
        <v>0</v>
      </c>
      <c r="F301" s="351"/>
      <c r="G301" s="351"/>
      <c r="H301" s="326">
        <v>0</v>
      </c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  <c r="FK301" s="50"/>
      <c r="FL301" s="50"/>
      <c r="FM301" s="50"/>
      <c r="FN301" s="50"/>
      <c r="FO301" s="50"/>
      <c r="FP301" s="50"/>
      <c r="FQ301" s="50"/>
      <c r="FR301" s="50"/>
      <c r="FS301" s="50"/>
      <c r="FT301" s="50"/>
      <c r="FU301" s="50"/>
      <c r="FV301" s="50"/>
      <c r="FW301" s="50"/>
      <c r="FX301" s="50"/>
      <c r="FY301" s="50"/>
      <c r="FZ301" s="50"/>
      <c r="GA301" s="50"/>
      <c r="GB301" s="50"/>
      <c r="GC301" s="50"/>
      <c r="GD301" s="50"/>
      <c r="GE301" s="50"/>
      <c r="GF301" s="50"/>
    </row>
    <row r="302" spans="1:188">
      <c r="A302" s="393" t="s">
        <v>1963</v>
      </c>
      <c r="B302" s="800" t="s">
        <v>383</v>
      </c>
      <c r="C302" s="316" t="s">
        <v>2047</v>
      </c>
      <c r="D302" s="318"/>
      <c r="E302" s="363"/>
      <c r="F302" s="363"/>
      <c r="G302" s="363"/>
      <c r="H302" s="363">
        <v>0</v>
      </c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50"/>
      <c r="FK302" s="50"/>
      <c r="FL302" s="50"/>
      <c r="FM302" s="50"/>
      <c r="FN302" s="50"/>
      <c r="FO302" s="50"/>
      <c r="FP302" s="50"/>
      <c r="FQ302" s="50"/>
      <c r="FR302" s="50"/>
      <c r="FS302" s="50"/>
      <c r="FT302" s="50"/>
      <c r="FU302" s="50"/>
      <c r="FV302" s="50"/>
      <c r="FW302" s="50"/>
      <c r="FX302" s="50"/>
      <c r="FY302" s="50"/>
      <c r="FZ302" s="50"/>
      <c r="GA302" s="50"/>
      <c r="GB302" s="50"/>
      <c r="GC302" s="50"/>
      <c r="GD302" s="50"/>
      <c r="GE302" s="50"/>
      <c r="GF302" s="50"/>
    </row>
    <row r="303" spans="1:188">
      <c r="A303" s="382" t="s">
        <v>1965</v>
      </c>
      <c r="B303" s="799">
        <v>670000000000000</v>
      </c>
      <c r="C303" s="320" t="s">
        <v>30</v>
      </c>
      <c r="D303" s="321"/>
      <c r="E303" s="326">
        <f t="shared" si="4"/>
        <v>0</v>
      </c>
      <c r="F303" s="351"/>
      <c r="G303" s="351"/>
      <c r="H303" s="326">
        <v>0</v>
      </c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50"/>
      <c r="FJ303" s="50"/>
      <c r="FK303" s="50"/>
      <c r="FL303" s="50"/>
      <c r="FM303" s="50"/>
      <c r="FN303" s="50"/>
      <c r="FO303" s="50"/>
      <c r="FP303" s="50"/>
      <c r="FQ303" s="50"/>
      <c r="FR303" s="50"/>
      <c r="FS303" s="50"/>
      <c r="FT303" s="50"/>
      <c r="FU303" s="50"/>
      <c r="FV303" s="50"/>
      <c r="FW303" s="50"/>
      <c r="FX303" s="50"/>
      <c r="FY303" s="50"/>
      <c r="FZ303" s="50"/>
      <c r="GA303" s="50"/>
      <c r="GB303" s="50"/>
      <c r="GC303" s="50"/>
      <c r="GD303" s="50"/>
      <c r="GE303" s="50"/>
      <c r="GF303" s="50"/>
    </row>
    <row r="304" spans="1:188">
      <c r="A304" s="393" t="s">
        <v>1963</v>
      </c>
      <c r="B304" s="800" t="s">
        <v>384</v>
      </c>
      <c r="C304" s="316" t="s">
        <v>1367</v>
      </c>
      <c r="D304" s="318"/>
      <c r="E304" s="363"/>
      <c r="F304" s="363"/>
      <c r="G304" s="363"/>
      <c r="H304" s="363">
        <v>0</v>
      </c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0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  <c r="FG304" s="50"/>
      <c r="FH304" s="50"/>
      <c r="FI304" s="50"/>
      <c r="FJ304" s="50"/>
      <c r="FK304" s="50"/>
      <c r="FL304" s="50"/>
      <c r="FM304" s="50"/>
      <c r="FN304" s="50"/>
      <c r="FO304" s="50"/>
      <c r="FP304" s="50"/>
      <c r="FQ304" s="50"/>
      <c r="FR304" s="50"/>
      <c r="FS304" s="50"/>
      <c r="FT304" s="50"/>
      <c r="FU304" s="50"/>
      <c r="FV304" s="50"/>
      <c r="FW304" s="50"/>
      <c r="FX304" s="50"/>
      <c r="FY304" s="50"/>
      <c r="FZ304" s="50"/>
      <c r="GA304" s="50"/>
      <c r="GB304" s="50"/>
      <c r="GC304" s="50"/>
      <c r="GD304" s="50"/>
      <c r="GE304" s="50"/>
      <c r="GF304" s="50"/>
    </row>
    <row r="305" spans="1:188">
      <c r="A305" s="393" t="s">
        <v>1965</v>
      </c>
      <c r="B305" s="800" t="s">
        <v>385</v>
      </c>
      <c r="C305" s="316" t="s">
        <v>1368</v>
      </c>
      <c r="D305" s="318"/>
      <c r="E305" s="363"/>
      <c r="F305" s="363"/>
      <c r="G305" s="363"/>
      <c r="H305" s="363">
        <v>0</v>
      </c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  <c r="FK305" s="50"/>
      <c r="FL305" s="50"/>
      <c r="FM305" s="50"/>
      <c r="FN305" s="50"/>
      <c r="FO305" s="50"/>
      <c r="FP305" s="50"/>
      <c r="FQ305" s="50"/>
      <c r="FR305" s="50"/>
      <c r="FS305" s="50"/>
      <c r="FT305" s="50"/>
      <c r="FU305" s="50"/>
      <c r="FV305" s="50"/>
      <c r="FW305" s="50"/>
      <c r="FX305" s="50"/>
      <c r="FY305" s="50"/>
      <c r="FZ305" s="50"/>
      <c r="GA305" s="50"/>
      <c r="GB305" s="50"/>
      <c r="GC305" s="50"/>
      <c r="GD305" s="50"/>
      <c r="GE305" s="50"/>
      <c r="GF305" s="50"/>
    </row>
    <row r="306" spans="1:188">
      <c r="A306" s="382">
        <v>5</v>
      </c>
      <c r="B306" s="799">
        <v>680100100000000</v>
      </c>
      <c r="C306" s="320" t="s">
        <v>386</v>
      </c>
      <c r="D306" s="321"/>
      <c r="E306" s="326">
        <f t="shared" si="4"/>
        <v>0</v>
      </c>
      <c r="F306" s="351"/>
      <c r="G306" s="351"/>
      <c r="H306" s="326">
        <v>0</v>
      </c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  <c r="FK306" s="50"/>
      <c r="FL306" s="50"/>
      <c r="FM306" s="50"/>
      <c r="FN306" s="50"/>
      <c r="FO306" s="50"/>
      <c r="FP306" s="50"/>
      <c r="FQ306" s="50"/>
      <c r="FR306" s="50"/>
      <c r="FS306" s="50"/>
      <c r="FT306" s="50"/>
      <c r="FU306" s="50"/>
      <c r="FV306" s="50"/>
      <c r="FW306" s="50"/>
      <c r="FX306" s="50"/>
      <c r="FY306" s="50"/>
      <c r="FZ306" s="50"/>
      <c r="GA306" s="50"/>
      <c r="GB306" s="50"/>
      <c r="GC306" s="50"/>
      <c r="GD306" s="50"/>
      <c r="GE306" s="50"/>
      <c r="GF306" s="50"/>
    </row>
    <row r="307" spans="1:188">
      <c r="A307" s="382">
        <v>5</v>
      </c>
      <c r="B307" s="799">
        <v>680100200000000</v>
      </c>
      <c r="C307" s="320" t="s">
        <v>387</v>
      </c>
      <c r="D307" s="321"/>
      <c r="E307" s="326">
        <f t="shared" si="4"/>
        <v>0</v>
      </c>
      <c r="F307" s="351"/>
      <c r="G307" s="351"/>
      <c r="H307" s="326">
        <v>0</v>
      </c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  <c r="FK307" s="50"/>
      <c r="FL307" s="50"/>
      <c r="FM307" s="50"/>
      <c r="FN307" s="50"/>
      <c r="FO307" s="50"/>
      <c r="FP307" s="50"/>
      <c r="FQ307" s="50"/>
      <c r="FR307" s="50"/>
      <c r="FS307" s="50"/>
      <c r="FT307" s="50"/>
      <c r="FU307" s="50"/>
      <c r="FV307" s="50"/>
      <c r="FW307" s="50"/>
      <c r="FX307" s="50"/>
      <c r="FY307" s="50"/>
      <c r="FZ307" s="50"/>
      <c r="GA307" s="50"/>
      <c r="GB307" s="50"/>
      <c r="GC307" s="50"/>
      <c r="GD307" s="50"/>
      <c r="GE307" s="50"/>
      <c r="GF307" s="50"/>
    </row>
    <row r="308" spans="1:188">
      <c r="A308" s="382">
        <v>5</v>
      </c>
      <c r="B308" s="799">
        <v>680100900000000</v>
      </c>
      <c r="C308" s="320" t="s">
        <v>388</v>
      </c>
      <c r="D308" s="321"/>
      <c r="E308" s="326">
        <f t="shared" si="4"/>
        <v>0</v>
      </c>
      <c r="F308" s="351"/>
      <c r="G308" s="351"/>
      <c r="H308" s="326">
        <v>0</v>
      </c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  <c r="FK308" s="50"/>
      <c r="FL308" s="50"/>
      <c r="FM308" s="50"/>
      <c r="FN308" s="50"/>
      <c r="FO308" s="50"/>
      <c r="FP308" s="50"/>
      <c r="FQ308" s="50"/>
      <c r="FR308" s="50"/>
      <c r="FS308" s="50"/>
      <c r="FT308" s="50"/>
      <c r="FU308" s="50"/>
      <c r="FV308" s="50"/>
      <c r="FW308" s="50"/>
      <c r="FX308" s="50"/>
      <c r="FY308" s="50"/>
      <c r="FZ308" s="50"/>
      <c r="GA308" s="50"/>
      <c r="GB308" s="50"/>
      <c r="GC308" s="50"/>
      <c r="GD308" s="50"/>
      <c r="GE308" s="50"/>
      <c r="GF308" s="50"/>
    </row>
    <row r="309" spans="1:188">
      <c r="A309" s="393" t="s">
        <v>1965</v>
      </c>
      <c r="B309" s="800" t="s">
        <v>389</v>
      </c>
      <c r="C309" s="316" t="s">
        <v>1369</v>
      </c>
      <c r="D309" s="318"/>
      <c r="E309" s="363"/>
      <c r="F309" s="363"/>
      <c r="G309" s="363"/>
      <c r="H309" s="363">
        <v>0</v>
      </c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  <c r="FK309" s="50"/>
      <c r="FL309" s="50"/>
      <c r="FM309" s="50"/>
      <c r="FN309" s="50"/>
      <c r="FO309" s="50"/>
      <c r="FP309" s="50"/>
      <c r="FQ309" s="50"/>
      <c r="FR309" s="50"/>
      <c r="FS309" s="50"/>
      <c r="FT309" s="50"/>
      <c r="FU309" s="50"/>
      <c r="FV309" s="50"/>
      <c r="FW309" s="50"/>
      <c r="FX309" s="50"/>
      <c r="FY309" s="50"/>
      <c r="FZ309" s="50"/>
      <c r="GA309" s="50"/>
      <c r="GB309" s="50"/>
      <c r="GC309" s="50"/>
      <c r="GD309" s="50"/>
      <c r="GE309" s="50"/>
      <c r="GF309" s="50"/>
    </row>
    <row r="310" spans="1:188">
      <c r="A310" s="382">
        <v>5</v>
      </c>
      <c r="B310" s="799">
        <v>680200100000000</v>
      </c>
      <c r="C310" s="320" t="s">
        <v>390</v>
      </c>
      <c r="D310" s="321"/>
      <c r="E310" s="326">
        <f t="shared" si="4"/>
        <v>0</v>
      </c>
      <c r="F310" s="351"/>
      <c r="G310" s="351"/>
      <c r="H310" s="326">
        <v>0</v>
      </c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  <c r="FK310" s="50"/>
      <c r="FL310" s="50"/>
      <c r="FM310" s="50"/>
      <c r="FN310" s="50"/>
      <c r="FO310" s="50"/>
      <c r="FP310" s="50"/>
      <c r="FQ310" s="50"/>
      <c r="FR310" s="50"/>
      <c r="FS310" s="50"/>
      <c r="FT310" s="50"/>
      <c r="FU310" s="50"/>
      <c r="FV310" s="50"/>
      <c r="FW310" s="50"/>
      <c r="FX310" s="50"/>
      <c r="FY310" s="50"/>
      <c r="FZ310" s="50"/>
      <c r="GA310" s="50"/>
      <c r="GB310" s="50"/>
      <c r="GC310" s="50"/>
      <c r="GD310" s="50"/>
      <c r="GE310" s="50"/>
      <c r="GF310" s="50"/>
    </row>
    <row r="311" spans="1:188">
      <c r="A311" s="382">
        <v>5</v>
      </c>
      <c r="B311" s="799">
        <v>680200200000000</v>
      </c>
      <c r="C311" s="320" t="s">
        <v>391</v>
      </c>
      <c r="D311" s="321"/>
      <c r="E311" s="326">
        <f t="shared" si="4"/>
        <v>0</v>
      </c>
      <c r="F311" s="351"/>
      <c r="G311" s="351"/>
      <c r="H311" s="326">
        <v>0</v>
      </c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50"/>
      <c r="FX311" s="50"/>
      <c r="FY311" s="50"/>
      <c r="FZ311" s="50"/>
      <c r="GA311" s="50"/>
      <c r="GB311" s="50"/>
      <c r="GC311" s="50"/>
      <c r="GD311" s="50"/>
      <c r="GE311" s="50"/>
      <c r="GF311" s="50"/>
    </row>
    <row r="312" spans="1:188">
      <c r="A312" s="382">
        <v>5</v>
      </c>
      <c r="B312" s="799">
        <v>680200900000000</v>
      </c>
      <c r="C312" s="320" t="s">
        <v>392</v>
      </c>
      <c r="D312" s="321"/>
      <c r="E312" s="326">
        <f t="shared" si="4"/>
        <v>0</v>
      </c>
      <c r="F312" s="351"/>
      <c r="G312" s="351"/>
      <c r="H312" s="326">
        <v>0</v>
      </c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A312" s="50"/>
      <c r="DB312" s="50"/>
      <c r="DC312" s="50"/>
      <c r="DD312" s="50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50"/>
      <c r="DR312" s="50"/>
      <c r="DS312" s="50"/>
      <c r="DT312" s="50"/>
      <c r="DU312" s="50"/>
      <c r="DV312" s="50"/>
      <c r="DW312" s="50"/>
      <c r="DX312" s="50"/>
      <c r="DY312" s="50"/>
      <c r="DZ312" s="50"/>
      <c r="EA312" s="50"/>
      <c r="EB312" s="50"/>
      <c r="EC312" s="50"/>
      <c r="ED312" s="50"/>
      <c r="EE312" s="50"/>
      <c r="EF312" s="50"/>
      <c r="EG312" s="50"/>
      <c r="EH312" s="50"/>
      <c r="EI312" s="50"/>
      <c r="EJ312" s="50"/>
      <c r="EK312" s="50"/>
      <c r="EL312" s="50"/>
      <c r="EM312" s="50"/>
      <c r="EN312" s="50"/>
      <c r="EO312" s="50"/>
      <c r="EP312" s="50"/>
      <c r="EQ312" s="50"/>
      <c r="ER312" s="50"/>
      <c r="ES312" s="50"/>
      <c r="ET312" s="50"/>
      <c r="EU312" s="50"/>
      <c r="EV312" s="50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  <c r="FG312" s="50"/>
      <c r="FH312" s="50"/>
      <c r="FI312" s="50"/>
      <c r="FJ312" s="50"/>
      <c r="FK312" s="50"/>
      <c r="FL312" s="50"/>
      <c r="FM312" s="50"/>
      <c r="FN312" s="50"/>
      <c r="FO312" s="50"/>
      <c r="FP312" s="50"/>
      <c r="FQ312" s="50"/>
      <c r="FR312" s="50"/>
      <c r="FS312" s="50"/>
      <c r="FT312" s="50"/>
      <c r="FU312" s="50"/>
      <c r="FV312" s="50"/>
      <c r="FW312" s="50"/>
      <c r="FX312" s="50"/>
      <c r="FY312" s="50"/>
      <c r="FZ312" s="50"/>
      <c r="GA312" s="50"/>
      <c r="GB312" s="50"/>
      <c r="GC312" s="50"/>
      <c r="GD312" s="50"/>
      <c r="GE312" s="50"/>
      <c r="GF312" s="50"/>
    </row>
    <row r="313" spans="1:188">
      <c r="A313" s="393" t="s">
        <v>1965</v>
      </c>
      <c r="B313" s="800" t="s">
        <v>394</v>
      </c>
      <c r="C313" s="316" t="s">
        <v>1370</v>
      </c>
      <c r="D313" s="318"/>
      <c r="E313" s="363"/>
      <c r="F313" s="363"/>
      <c r="G313" s="363"/>
      <c r="H313" s="363">
        <v>0</v>
      </c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  <c r="FK313" s="50"/>
      <c r="FL313" s="50"/>
      <c r="FM313" s="50"/>
      <c r="FN313" s="50"/>
      <c r="FO313" s="50"/>
      <c r="FP313" s="50"/>
      <c r="FQ313" s="50"/>
      <c r="FR313" s="50"/>
      <c r="FS313" s="50"/>
      <c r="FT313" s="50"/>
      <c r="FU313" s="50"/>
      <c r="FV313" s="50"/>
      <c r="FW313" s="50"/>
      <c r="FX313" s="50"/>
      <c r="FY313" s="50"/>
      <c r="FZ313" s="50"/>
      <c r="GA313" s="50"/>
      <c r="GB313" s="50"/>
      <c r="GC313" s="50"/>
      <c r="GD313" s="50"/>
      <c r="GE313" s="50"/>
      <c r="GF313" s="50"/>
    </row>
    <row r="314" spans="1:188">
      <c r="A314" s="382">
        <v>5</v>
      </c>
      <c r="B314" s="799">
        <v>680300100000000</v>
      </c>
      <c r="C314" s="320" t="s">
        <v>395</v>
      </c>
      <c r="D314" s="321"/>
      <c r="E314" s="326">
        <f t="shared" si="4"/>
        <v>7500</v>
      </c>
      <c r="F314" s="351">
        <v>7500</v>
      </c>
      <c r="G314" s="351"/>
      <c r="H314" s="326">
        <v>0</v>
      </c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A314" s="50"/>
      <c r="DB314" s="50"/>
      <c r="DC314" s="50"/>
      <c r="DD314" s="50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50"/>
      <c r="DR314" s="50"/>
      <c r="DS314" s="50"/>
      <c r="DT314" s="50"/>
      <c r="DU314" s="50"/>
      <c r="DV314" s="50"/>
      <c r="DW314" s="50"/>
      <c r="DX314" s="50"/>
      <c r="DY314" s="50"/>
      <c r="DZ314" s="50"/>
      <c r="EA314" s="50"/>
      <c r="EB314" s="50"/>
      <c r="EC314" s="50"/>
      <c r="ED314" s="50"/>
      <c r="EE314" s="50"/>
      <c r="EF314" s="50"/>
      <c r="EG314" s="50"/>
      <c r="EH314" s="50"/>
      <c r="EI314" s="50"/>
      <c r="EJ314" s="50"/>
      <c r="EK314" s="50"/>
      <c r="EL314" s="50"/>
      <c r="EM314" s="50"/>
      <c r="EN314" s="50"/>
      <c r="EO314" s="50"/>
      <c r="EP314" s="50"/>
      <c r="EQ314" s="50"/>
      <c r="ER314" s="50"/>
      <c r="ES314" s="50"/>
      <c r="ET314" s="50"/>
      <c r="EU314" s="50"/>
      <c r="EV314" s="50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  <c r="FG314" s="50"/>
      <c r="FH314" s="50"/>
      <c r="FI314" s="50"/>
      <c r="FJ314" s="50"/>
      <c r="FK314" s="50"/>
      <c r="FL314" s="50"/>
      <c r="FM314" s="50"/>
      <c r="FN314" s="50"/>
      <c r="FO314" s="50"/>
      <c r="FP314" s="50"/>
      <c r="FQ314" s="50"/>
      <c r="FR314" s="50"/>
      <c r="FS314" s="50"/>
      <c r="FT314" s="50"/>
      <c r="FU314" s="50"/>
      <c r="FV314" s="50"/>
      <c r="FW314" s="50"/>
      <c r="FX314" s="50"/>
      <c r="FY314" s="50"/>
      <c r="FZ314" s="50"/>
      <c r="GA314" s="50"/>
      <c r="GB314" s="50"/>
      <c r="GC314" s="50"/>
      <c r="GD314" s="50"/>
      <c r="GE314" s="50"/>
      <c r="GF314" s="50"/>
    </row>
    <row r="315" spans="1:188">
      <c r="A315" s="382">
        <v>5</v>
      </c>
      <c r="B315" s="799">
        <v>680300200000000</v>
      </c>
      <c r="C315" s="320" t="s">
        <v>396</v>
      </c>
      <c r="D315" s="321"/>
      <c r="E315" s="326">
        <f t="shared" si="4"/>
        <v>0</v>
      </c>
      <c r="F315" s="351"/>
      <c r="G315" s="351"/>
      <c r="H315" s="326">
        <v>0</v>
      </c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  <c r="FK315" s="50"/>
      <c r="FL315" s="50"/>
      <c r="FM315" s="50"/>
      <c r="FN315" s="50"/>
      <c r="FO315" s="50"/>
      <c r="FP315" s="50"/>
      <c r="FQ315" s="50"/>
      <c r="FR315" s="50"/>
      <c r="FS315" s="50"/>
      <c r="FT315" s="50"/>
      <c r="FU315" s="50"/>
      <c r="FV315" s="50"/>
      <c r="FW315" s="50"/>
      <c r="FX315" s="50"/>
      <c r="FY315" s="50"/>
      <c r="FZ315" s="50"/>
      <c r="GA315" s="50"/>
      <c r="GB315" s="50"/>
      <c r="GC315" s="50"/>
      <c r="GD315" s="50"/>
      <c r="GE315" s="50"/>
      <c r="GF315" s="50"/>
    </row>
    <row r="316" spans="1:188">
      <c r="A316" s="382">
        <v>5</v>
      </c>
      <c r="B316" s="799">
        <v>680300900000000</v>
      </c>
      <c r="C316" s="320" t="s">
        <v>393</v>
      </c>
      <c r="D316" s="321"/>
      <c r="E316" s="326">
        <f t="shared" si="4"/>
        <v>0</v>
      </c>
      <c r="F316" s="351"/>
      <c r="G316" s="351"/>
      <c r="H316" s="326">
        <v>9190.73</v>
      </c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  <c r="DA316" s="50"/>
      <c r="DB316" s="50"/>
      <c r="DC316" s="50"/>
      <c r="DD316" s="50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50"/>
      <c r="DS316" s="50"/>
      <c r="DT316" s="50"/>
      <c r="DU316" s="50"/>
      <c r="DV316" s="50"/>
      <c r="DW316" s="50"/>
      <c r="DX316" s="50"/>
      <c r="DY316" s="50"/>
      <c r="DZ316" s="50"/>
      <c r="EA316" s="50"/>
      <c r="EB316" s="50"/>
      <c r="EC316" s="50"/>
      <c r="ED316" s="50"/>
      <c r="EE316" s="50"/>
      <c r="EF316" s="50"/>
      <c r="EG316" s="50"/>
      <c r="EH316" s="50"/>
      <c r="EI316" s="50"/>
      <c r="EJ316" s="50"/>
      <c r="EK316" s="50"/>
      <c r="EL316" s="50"/>
      <c r="EM316" s="50"/>
      <c r="EN316" s="50"/>
      <c r="EO316" s="50"/>
      <c r="EP316" s="50"/>
      <c r="EQ316" s="50"/>
      <c r="ER316" s="50"/>
      <c r="ES316" s="50"/>
      <c r="ET316" s="50"/>
      <c r="EU316" s="50"/>
      <c r="EV316" s="50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  <c r="FG316" s="50"/>
      <c r="FH316" s="50"/>
      <c r="FI316" s="50"/>
      <c r="FJ316" s="50"/>
      <c r="FK316" s="50"/>
      <c r="FL316" s="50"/>
      <c r="FM316" s="50"/>
      <c r="FN316" s="50"/>
      <c r="FO316" s="50"/>
      <c r="FP316" s="50"/>
      <c r="FQ316" s="50"/>
      <c r="FR316" s="50"/>
      <c r="FS316" s="50"/>
      <c r="FT316" s="50"/>
      <c r="FU316" s="50"/>
      <c r="FV316" s="50"/>
      <c r="FW316" s="50"/>
      <c r="FX316" s="50"/>
      <c r="FY316" s="50"/>
      <c r="FZ316" s="50"/>
      <c r="GA316" s="50"/>
      <c r="GB316" s="50"/>
      <c r="GC316" s="50"/>
      <c r="GD316" s="50"/>
      <c r="GE316" s="50"/>
      <c r="GF316" s="50"/>
    </row>
    <row r="317" spans="1:188">
      <c r="A317" s="395">
        <v>2</v>
      </c>
      <c r="B317" s="800" t="s">
        <v>2579</v>
      </c>
      <c r="C317" s="317" t="s">
        <v>2580</v>
      </c>
      <c r="D317" s="328"/>
      <c r="E317" s="359"/>
      <c r="F317" s="359"/>
      <c r="G317" s="359"/>
      <c r="H317" s="359">
        <v>0</v>
      </c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/>
      <c r="CF317" s="50"/>
      <c r="CG317" s="50"/>
      <c r="CH317" s="50"/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/>
      <c r="CZ317" s="50"/>
      <c r="DA317" s="50"/>
      <c r="DB317" s="50"/>
      <c r="DC317" s="50"/>
      <c r="DD317" s="50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50"/>
      <c r="DR317" s="50"/>
      <c r="DS317" s="50"/>
      <c r="DT317" s="50"/>
      <c r="DU317" s="50"/>
      <c r="DV317" s="50"/>
      <c r="DW317" s="50"/>
      <c r="DX317" s="50"/>
      <c r="DY317" s="50"/>
      <c r="DZ317" s="50"/>
      <c r="EA317" s="50"/>
      <c r="EB317" s="50"/>
      <c r="EC317" s="50"/>
      <c r="ED317" s="50"/>
      <c r="EE317" s="50"/>
      <c r="EF317" s="50"/>
      <c r="EG317" s="50"/>
      <c r="EH317" s="50"/>
      <c r="EI317" s="50"/>
      <c r="EJ317" s="50"/>
      <c r="EK317" s="50"/>
      <c r="EL317" s="50"/>
      <c r="EM317" s="50"/>
      <c r="EN317" s="50"/>
      <c r="EO317" s="50"/>
      <c r="EP317" s="50"/>
      <c r="EQ317" s="50"/>
      <c r="ER317" s="50"/>
      <c r="ES317" s="50"/>
      <c r="ET317" s="50"/>
      <c r="EU317" s="50"/>
      <c r="EV317" s="50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  <c r="FG317" s="50"/>
      <c r="FH317" s="50"/>
      <c r="FI317" s="50"/>
      <c r="FJ317" s="50"/>
      <c r="FK317" s="50"/>
      <c r="FL317" s="50"/>
      <c r="FM317" s="50"/>
      <c r="FN317" s="50"/>
      <c r="FO317" s="50"/>
      <c r="FP317" s="50"/>
      <c r="FQ317" s="50"/>
      <c r="FR317" s="50"/>
      <c r="FS317" s="50"/>
      <c r="FT317" s="50"/>
      <c r="FU317" s="50"/>
      <c r="FV317" s="50"/>
      <c r="FW317" s="50"/>
      <c r="FX317" s="50"/>
      <c r="FY317" s="50"/>
      <c r="FZ317" s="50"/>
      <c r="GA317" s="50"/>
      <c r="GB317" s="50"/>
      <c r="GC317" s="50"/>
      <c r="GD317" s="50"/>
      <c r="GE317" s="50"/>
      <c r="GF317" s="50"/>
    </row>
    <row r="318" spans="1:188">
      <c r="A318" s="393" t="s">
        <v>1963</v>
      </c>
      <c r="B318" s="800" t="s">
        <v>397</v>
      </c>
      <c r="C318" s="316" t="s">
        <v>1712</v>
      </c>
      <c r="D318" s="318"/>
      <c r="E318" s="362"/>
      <c r="F318" s="362"/>
      <c r="G318" s="362"/>
      <c r="H318" s="362">
        <v>0</v>
      </c>
    </row>
    <row r="319" spans="1:188">
      <c r="A319" s="393" t="s">
        <v>1965</v>
      </c>
      <c r="B319" s="800" t="s">
        <v>399</v>
      </c>
      <c r="C319" s="316" t="s">
        <v>1713</v>
      </c>
      <c r="D319" s="318"/>
      <c r="E319" s="362"/>
      <c r="F319" s="362"/>
      <c r="G319" s="362"/>
      <c r="H319" s="362">
        <v>0</v>
      </c>
    </row>
    <row r="320" spans="1:188">
      <c r="A320" s="382" t="s">
        <v>1967</v>
      </c>
      <c r="B320" s="799">
        <v>690100000000000</v>
      </c>
      <c r="C320" s="320" t="s">
        <v>398</v>
      </c>
      <c r="D320" s="321"/>
      <c r="E320" s="326">
        <f t="shared" si="4"/>
        <v>0.7</v>
      </c>
      <c r="F320" s="351">
        <v>0.7</v>
      </c>
      <c r="G320" s="351"/>
      <c r="H320" s="326">
        <v>0</v>
      </c>
    </row>
    <row r="321" spans="1:8">
      <c r="A321" s="393" t="s">
        <v>1965</v>
      </c>
      <c r="B321" s="800" t="s">
        <v>400</v>
      </c>
      <c r="C321" s="316" t="s">
        <v>1714</v>
      </c>
      <c r="D321" s="318"/>
      <c r="E321" s="362"/>
      <c r="F321" s="362"/>
      <c r="G321" s="362"/>
      <c r="H321" s="362">
        <v>0</v>
      </c>
    </row>
    <row r="322" spans="1:8">
      <c r="A322" s="382" t="s">
        <v>1967</v>
      </c>
      <c r="B322" s="799">
        <v>690200100000000</v>
      </c>
      <c r="C322" s="320" t="s">
        <v>401</v>
      </c>
      <c r="D322" s="321"/>
      <c r="E322" s="326">
        <f t="shared" si="4"/>
        <v>0</v>
      </c>
      <c r="F322" s="351"/>
      <c r="G322" s="351"/>
      <c r="H322" s="326">
        <v>0</v>
      </c>
    </row>
    <row r="323" spans="1:8">
      <c r="A323" s="382" t="s">
        <v>1967</v>
      </c>
      <c r="B323" s="799">
        <v>690200200000000</v>
      </c>
      <c r="C323" s="320" t="s">
        <v>402</v>
      </c>
      <c r="D323" s="321"/>
      <c r="E323" s="326">
        <f t="shared" si="4"/>
        <v>0</v>
      </c>
      <c r="F323" s="351"/>
      <c r="G323" s="351"/>
      <c r="H323" s="326">
        <v>0</v>
      </c>
    </row>
    <row r="324" spans="1:8">
      <c r="A324" s="393" t="s">
        <v>1965</v>
      </c>
      <c r="B324" s="800" t="s">
        <v>404</v>
      </c>
      <c r="C324" s="316" t="s">
        <v>1715</v>
      </c>
      <c r="D324" s="318"/>
      <c r="E324" s="362"/>
      <c r="F324" s="362"/>
      <c r="G324" s="362"/>
      <c r="H324" s="362">
        <v>0</v>
      </c>
    </row>
    <row r="325" spans="1:8">
      <c r="A325" s="382" t="s">
        <v>1967</v>
      </c>
      <c r="B325" s="799">
        <v>690300100000000</v>
      </c>
      <c r="C325" s="320" t="s">
        <v>405</v>
      </c>
      <c r="D325" s="321"/>
      <c r="E325" s="326">
        <f t="shared" si="4"/>
        <v>0</v>
      </c>
      <c r="F325" s="351"/>
      <c r="G325" s="351"/>
      <c r="H325" s="326">
        <v>0</v>
      </c>
    </row>
    <row r="326" spans="1:8">
      <c r="A326" s="382" t="s">
        <v>1967</v>
      </c>
      <c r="B326" s="799">
        <v>690300200000000</v>
      </c>
      <c r="C326" s="320" t="s">
        <v>2581</v>
      </c>
      <c r="D326" s="321"/>
      <c r="E326" s="326">
        <f t="shared" si="4"/>
        <v>0</v>
      </c>
      <c r="F326" s="351"/>
      <c r="G326" s="351"/>
      <c r="H326" s="326">
        <v>0</v>
      </c>
    </row>
    <row r="327" spans="1:8">
      <c r="A327" s="382" t="s">
        <v>1967</v>
      </c>
      <c r="B327" s="799">
        <v>690300900000000</v>
      </c>
      <c r="C327" s="320" t="s">
        <v>403</v>
      </c>
      <c r="D327" s="321"/>
      <c r="E327" s="326">
        <f t="shared" si="4"/>
        <v>0</v>
      </c>
      <c r="F327" s="351"/>
      <c r="G327" s="351"/>
      <c r="H327" s="326">
        <v>0</v>
      </c>
    </row>
    <row r="328" spans="1:8">
      <c r="A328" s="393" t="s">
        <v>1963</v>
      </c>
      <c r="B328" s="800" t="s">
        <v>406</v>
      </c>
      <c r="C328" s="316" t="s">
        <v>1716</v>
      </c>
      <c r="D328" s="318"/>
      <c r="E328" s="362"/>
      <c r="F328" s="362"/>
      <c r="G328" s="362"/>
      <c r="H328" s="362">
        <v>0</v>
      </c>
    </row>
    <row r="329" spans="1:8">
      <c r="A329" s="393" t="s">
        <v>1965</v>
      </c>
      <c r="B329" s="800" t="s">
        <v>408</v>
      </c>
      <c r="C329" s="316" t="s">
        <v>1717</v>
      </c>
      <c r="D329" s="318"/>
      <c r="E329" s="362"/>
      <c r="F329" s="362"/>
      <c r="G329" s="362"/>
      <c r="H329" s="362">
        <v>0</v>
      </c>
    </row>
    <row r="330" spans="1:8">
      <c r="A330" s="382" t="s">
        <v>1967</v>
      </c>
      <c r="B330" s="799">
        <v>700100000000000</v>
      </c>
      <c r="C330" s="320" t="s">
        <v>407</v>
      </c>
      <c r="D330" s="321"/>
      <c r="E330" s="326">
        <f t="shared" ref="E330:E388" si="5">+F330+G330</f>
        <v>0</v>
      </c>
      <c r="F330" s="351"/>
      <c r="G330" s="351"/>
      <c r="H330" s="326">
        <v>0</v>
      </c>
    </row>
    <row r="331" spans="1:8">
      <c r="A331" s="393" t="s">
        <v>1965</v>
      </c>
      <c r="B331" s="800" t="s">
        <v>410</v>
      </c>
      <c r="C331" s="316" t="s">
        <v>1718</v>
      </c>
      <c r="D331" s="318"/>
      <c r="E331" s="362"/>
      <c r="F331" s="362"/>
      <c r="G331" s="362"/>
      <c r="H331" s="362">
        <v>0</v>
      </c>
    </row>
    <row r="332" spans="1:8">
      <c r="A332" s="382" t="s">
        <v>1967</v>
      </c>
      <c r="B332" s="799">
        <v>700200000000000</v>
      </c>
      <c r="C332" s="320" t="s">
        <v>409</v>
      </c>
      <c r="D332" s="321"/>
      <c r="E332" s="326">
        <f t="shared" si="5"/>
        <v>0</v>
      </c>
      <c r="F332" s="351"/>
      <c r="G332" s="351"/>
      <c r="H332" s="326">
        <v>0</v>
      </c>
    </row>
    <row r="333" spans="1:8">
      <c r="A333" s="393" t="s">
        <v>1965</v>
      </c>
      <c r="B333" s="800" t="s">
        <v>412</v>
      </c>
      <c r="C333" s="316" t="s">
        <v>1719</v>
      </c>
      <c r="D333" s="318"/>
      <c r="E333" s="362"/>
      <c r="F333" s="362"/>
      <c r="G333" s="362"/>
      <c r="H333" s="362">
        <v>0</v>
      </c>
    </row>
    <row r="334" spans="1:8">
      <c r="A334" s="382" t="s">
        <v>1967</v>
      </c>
      <c r="B334" s="799">
        <v>700300000000000</v>
      </c>
      <c r="C334" s="320" t="s">
        <v>411</v>
      </c>
      <c r="D334" s="321"/>
      <c r="E334" s="326">
        <f t="shared" si="5"/>
        <v>0</v>
      </c>
      <c r="F334" s="351"/>
      <c r="G334" s="351"/>
      <c r="H334" s="326">
        <v>0</v>
      </c>
    </row>
    <row r="335" spans="1:8">
      <c r="A335" s="393" t="s">
        <v>1965</v>
      </c>
      <c r="B335" s="800" t="s">
        <v>414</v>
      </c>
      <c r="C335" s="316" t="s">
        <v>1720</v>
      </c>
      <c r="D335" s="318"/>
      <c r="E335" s="362"/>
      <c r="F335" s="362"/>
      <c r="G335" s="362"/>
      <c r="H335" s="362">
        <v>0</v>
      </c>
    </row>
    <row r="336" spans="1:8">
      <c r="A336" s="382" t="s">
        <v>1967</v>
      </c>
      <c r="B336" s="799">
        <v>700400000000000</v>
      </c>
      <c r="C336" s="320" t="s">
        <v>413</v>
      </c>
      <c r="D336" s="321"/>
      <c r="E336" s="326">
        <f t="shared" si="5"/>
        <v>0</v>
      </c>
      <c r="F336" s="351"/>
      <c r="G336" s="351"/>
      <c r="H336" s="326">
        <v>0</v>
      </c>
    </row>
    <row r="337" spans="1:8">
      <c r="A337" s="393" t="s">
        <v>1965</v>
      </c>
      <c r="B337" s="800" t="s">
        <v>416</v>
      </c>
      <c r="C337" s="316" t="s">
        <v>1721</v>
      </c>
      <c r="D337" s="318"/>
      <c r="E337" s="362"/>
      <c r="F337" s="362"/>
      <c r="G337" s="362"/>
      <c r="H337" s="362">
        <v>0</v>
      </c>
    </row>
    <row r="338" spans="1:8">
      <c r="A338" s="382" t="s">
        <v>1967</v>
      </c>
      <c r="B338" s="799">
        <v>700500000000000</v>
      </c>
      <c r="C338" s="320" t="s">
        <v>415</v>
      </c>
      <c r="D338" s="321"/>
      <c r="E338" s="326">
        <f t="shared" si="5"/>
        <v>0</v>
      </c>
      <c r="F338" s="351"/>
      <c r="G338" s="351"/>
      <c r="H338" s="326">
        <v>0</v>
      </c>
    </row>
    <row r="339" spans="1:8">
      <c r="A339" s="395">
        <v>2</v>
      </c>
      <c r="B339" s="800" t="s">
        <v>2584</v>
      </c>
      <c r="C339" s="317" t="s">
        <v>2585</v>
      </c>
      <c r="D339" s="328"/>
      <c r="E339" s="359"/>
      <c r="F339" s="359"/>
      <c r="G339" s="359"/>
      <c r="H339" s="359">
        <v>0</v>
      </c>
    </row>
    <row r="340" spans="1:8">
      <c r="A340" s="393" t="s">
        <v>1963</v>
      </c>
      <c r="B340" s="800" t="s">
        <v>418</v>
      </c>
      <c r="C340" s="316" t="s">
        <v>2586</v>
      </c>
      <c r="D340" s="318"/>
      <c r="E340" s="362"/>
      <c r="F340" s="362"/>
      <c r="G340" s="362"/>
      <c r="H340" s="362">
        <v>0</v>
      </c>
    </row>
    <row r="341" spans="1:8">
      <c r="A341" s="382" t="s">
        <v>1965</v>
      </c>
      <c r="B341" s="799">
        <v>710000000000000</v>
      </c>
      <c r="C341" s="320" t="s">
        <v>417</v>
      </c>
      <c r="D341" s="321"/>
      <c r="E341" s="326">
        <f t="shared" si="5"/>
        <v>0</v>
      </c>
      <c r="F341" s="351"/>
      <c r="G341" s="351"/>
      <c r="H341" s="326">
        <v>0</v>
      </c>
    </row>
    <row r="342" spans="1:8">
      <c r="A342" s="396" t="s">
        <v>1960</v>
      </c>
      <c r="B342" s="800" t="s">
        <v>2588</v>
      </c>
      <c r="C342" s="316" t="s">
        <v>2589</v>
      </c>
      <c r="D342" s="318"/>
      <c r="E342" s="362"/>
      <c r="F342" s="362"/>
      <c r="G342" s="362"/>
      <c r="H342" s="362">
        <v>0</v>
      </c>
    </row>
    <row r="343" spans="1:8">
      <c r="A343" s="393" t="s">
        <v>1963</v>
      </c>
      <c r="B343" s="800" t="s">
        <v>419</v>
      </c>
      <c r="C343" s="316" t="s">
        <v>1738</v>
      </c>
      <c r="D343" s="318"/>
      <c r="E343" s="362"/>
      <c r="F343" s="362"/>
      <c r="G343" s="362"/>
      <c r="H343" s="362">
        <v>0</v>
      </c>
    </row>
    <row r="344" spans="1:8">
      <c r="A344" s="393" t="s">
        <v>1965</v>
      </c>
      <c r="B344" s="800" t="s">
        <v>421</v>
      </c>
      <c r="C344" s="316" t="s">
        <v>1739</v>
      </c>
      <c r="D344" s="318"/>
      <c r="E344" s="362"/>
      <c r="F344" s="362"/>
      <c r="G344" s="362"/>
      <c r="H344" s="362">
        <v>0</v>
      </c>
    </row>
    <row r="345" spans="1:8">
      <c r="A345" s="382" t="s">
        <v>1967</v>
      </c>
      <c r="B345" s="799">
        <v>720100000000000</v>
      </c>
      <c r="C345" s="320" t="s">
        <v>420</v>
      </c>
      <c r="D345" s="321"/>
      <c r="E345" s="326">
        <f t="shared" si="5"/>
        <v>0</v>
      </c>
      <c r="F345" s="351"/>
      <c r="G345" s="351"/>
      <c r="H345" s="326">
        <v>0</v>
      </c>
    </row>
    <row r="346" spans="1:8">
      <c r="A346" s="393" t="s">
        <v>1965</v>
      </c>
      <c r="B346" s="800" t="s">
        <v>423</v>
      </c>
      <c r="C346" s="316" t="s">
        <v>1740</v>
      </c>
      <c r="D346" s="318"/>
      <c r="E346" s="362"/>
      <c r="F346" s="362"/>
      <c r="G346" s="362"/>
      <c r="H346" s="362">
        <v>0</v>
      </c>
    </row>
    <row r="347" spans="1:8">
      <c r="A347" s="393" t="s">
        <v>1967</v>
      </c>
      <c r="B347" s="800" t="s">
        <v>425</v>
      </c>
      <c r="C347" s="316" t="s">
        <v>1741</v>
      </c>
      <c r="D347" s="318"/>
      <c r="E347" s="362"/>
      <c r="F347" s="362"/>
      <c r="G347" s="362"/>
      <c r="H347" s="362">
        <v>0</v>
      </c>
    </row>
    <row r="348" spans="1:8">
      <c r="A348" s="382" t="s">
        <v>1969</v>
      </c>
      <c r="B348" s="799">
        <v>720200100000000</v>
      </c>
      <c r="C348" s="320" t="s">
        <v>424</v>
      </c>
      <c r="D348" s="321"/>
      <c r="E348" s="326">
        <f t="shared" si="5"/>
        <v>0</v>
      </c>
      <c r="F348" s="351"/>
      <c r="G348" s="351"/>
      <c r="H348" s="326">
        <v>0</v>
      </c>
    </row>
    <row r="349" spans="1:8">
      <c r="A349" s="393" t="s">
        <v>1967</v>
      </c>
      <c r="B349" s="800" t="s">
        <v>426</v>
      </c>
      <c r="C349" s="316" t="s">
        <v>1742</v>
      </c>
      <c r="D349" s="318"/>
      <c r="E349" s="362"/>
      <c r="F349" s="362"/>
      <c r="G349" s="362"/>
      <c r="H349" s="362">
        <v>0</v>
      </c>
    </row>
    <row r="350" spans="1:8">
      <c r="A350" s="393" t="s">
        <v>1969</v>
      </c>
      <c r="B350" s="800" t="s">
        <v>428</v>
      </c>
      <c r="C350" s="316" t="s">
        <v>1743</v>
      </c>
      <c r="D350" s="318"/>
      <c r="E350" s="362"/>
      <c r="F350" s="362"/>
      <c r="G350" s="362"/>
      <c r="H350" s="362">
        <v>0</v>
      </c>
    </row>
    <row r="351" spans="1:8">
      <c r="A351" s="382" t="s">
        <v>1970</v>
      </c>
      <c r="B351" s="799">
        <v>720200200100000</v>
      </c>
      <c r="C351" s="320" t="s">
        <v>427</v>
      </c>
      <c r="D351" s="321"/>
      <c r="E351" s="326">
        <f t="shared" si="5"/>
        <v>0</v>
      </c>
      <c r="F351" s="351"/>
      <c r="G351" s="351"/>
      <c r="H351" s="326">
        <v>2411121</v>
      </c>
    </row>
    <row r="352" spans="1:8">
      <c r="A352" s="393" t="s">
        <v>1969</v>
      </c>
      <c r="B352" s="800" t="s">
        <v>430</v>
      </c>
      <c r="C352" s="316" t="s">
        <v>1744</v>
      </c>
      <c r="D352" s="318" t="s">
        <v>1248</v>
      </c>
      <c r="E352" s="362"/>
      <c r="F352" s="362"/>
      <c r="G352" s="362"/>
      <c r="H352" s="362">
        <v>0</v>
      </c>
    </row>
    <row r="353" spans="1:8">
      <c r="A353" s="382" t="s">
        <v>1970</v>
      </c>
      <c r="B353" s="799">
        <v>720200200150000</v>
      </c>
      <c r="C353" s="320" t="s">
        <v>429</v>
      </c>
      <c r="D353" s="321" t="s">
        <v>1248</v>
      </c>
      <c r="E353" s="326">
        <f t="shared" si="5"/>
        <v>0</v>
      </c>
      <c r="F353" s="351"/>
      <c r="G353" s="351"/>
      <c r="H353" s="326">
        <v>60049.45</v>
      </c>
    </row>
    <row r="354" spans="1:8">
      <c r="A354" s="393" t="s">
        <v>1969</v>
      </c>
      <c r="B354" s="800" t="s">
        <v>431</v>
      </c>
      <c r="C354" s="316" t="s">
        <v>1745</v>
      </c>
      <c r="D354" s="318"/>
      <c r="E354" s="362"/>
      <c r="F354" s="362"/>
      <c r="G354" s="362"/>
      <c r="H354" s="362">
        <v>0</v>
      </c>
    </row>
    <row r="355" spans="1:8">
      <c r="A355" s="393" t="s">
        <v>1970</v>
      </c>
      <c r="B355" s="800" t="s">
        <v>433</v>
      </c>
      <c r="C355" s="316" t="s">
        <v>1746</v>
      </c>
      <c r="D355" s="318"/>
      <c r="E355" s="362"/>
      <c r="F355" s="362"/>
      <c r="G355" s="362"/>
      <c r="H355" s="362">
        <v>0</v>
      </c>
    </row>
    <row r="356" spans="1:8">
      <c r="A356" s="382" t="s">
        <v>2017</v>
      </c>
      <c r="B356" s="799">
        <v>720200200201000</v>
      </c>
      <c r="C356" s="320" t="s">
        <v>432</v>
      </c>
      <c r="D356" s="321"/>
      <c r="E356" s="326">
        <f t="shared" si="5"/>
        <v>0</v>
      </c>
      <c r="F356" s="351"/>
      <c r="G356" s="351"/>
      <c r="H356" s="326">
        <v>0</v>
      </c>
    </row>
    <row r="357" spans="1:8">
      <c r="A357" s="393" t="s">
        <v>1970</v>
      </c>
      <c r="B357" s="800" t="s">
        <v>435</v>
      </c>
      <c r="C357" s="316" t="s">
        <v>1747</v>
      </c>
      <c r="D357" s="318"/>
      <c r="E357" s="362"/>
      <c r="F357" s="362"/>
      <c r="G357" s="362"/>
      <c r="H357" s="362">
        <v>0</v>
      </c>
    </row>
    <row r="358" spans="1:8">
      <c r="A358" s="382" t="s">
        <v>2017</v>
      </c>
      <c r="B358" s="799">
        <v>720200200202000</v>
      </c>
      <c r="C358" s="320" t="s">
        <v>434</v>
      </c>
      <c r="D358" s="321"/>
      <c r="E358" s="326">
        <f t="shared" si="5"/>
        <v>13699.49</v>
      </c>
      <c r="F358" s="351">
        <f>0.09+13699.4</f>
        <v>13699.49</v>
      </c>
      <c r="G358" s="351"/>
      <c r="H358" s="326">
        <v>3093.92</v>
      </c>
    </row>
    <row r="359" spans="1:8" ht="25.5">
      <c r="A359" s="393" t="s">
        <v>1970</v>
      </c>
      <c r="B359" s="800" t="s">
        <v>437</v>
      </c>
      <c r="C359" s="316" t="s">
        <v>1748</v>
      </c>
      <c r="D359" s="318"/>
      <c r="E359" s="362"/>
      <c r="F359" s="362"/>
      <c r="G359" s="362"/>
      <c r="H359" s="362">
        <v>0</v>
      </c>
    </row>
    <row r="360" spans="1:8">
      <c r="A360" s="382" t="s">
        <v>2017</v>
      </c>
      <c r="B360" s="799">
        <v>720200200203000</v>
      </c>
      <c r="C360" s="320" t="s">
        <v>436</v>
      </c>
      <c r="D360" s="321"/>
      <c r="E360" s="326">
        <f t="shared" si="5"/>
        <v>0</v>
      </c>
      <c r="F360" s="351"/>
      <c r="G360" s="351"/>
      <c r="H360" s="326">
        <v>0</v>
      </c>
    </row>
    <row r="361" spans="1:8" ht="25.5">
      <c r="A361" s="393" t="s">
        <v>1970</v>
      </c>
      <c r="B361" s="800" t="s">
        <v>439</v>
      </c>
      <c r="C361" s="316" t="s">
        <v>1749</v>
      </c>
      <c r="D361" s="318"/>
      <c r="E361" s="362"/>
      <c r="F361" s="362"/>
      <c r="G361" s="362"/>
      <c r="H361" s="362">
        <v>0</v>
      </c>
    </row>
    <row r="362" spans="1:8">
      <c r="A362" s="382" t="s">
        <v>2017</v>
      </c>
      <c r="B362" s="799">
        <v>720200200204000</v>
      </c>
      <c r="C362" s="320" t="s">
        <v>438</v>
      </c>
      <c r="D362" s="321"/>
      <c r="E362" s="326">
        <f t="shared" si="5"/>
        <v>0</v>
      </c>
      <c r="F362" s="351"/>
      <c r="G362" s="351"/>
      <c r="H362" s="326">
        <v>0</v>
      </c>
    </row>
    <row r="363" spans="1:8" ht="25.5">
      <c r="A363" s="393" t="s">
        <v>1970</v>
      </c>
      <c r="B363" s="800" t="s">
        <v>441</v>
      </c>
      <c r="C363" s="316" t="s">
        <v>1750</v>
      </c>
      <c r="D363" s="318"/>
      <c r="E363" s="362"/>
      <c r="F363" s="362"/>
      <c r="G363" s="362"/>
      <c r="H363" s="362">
        <v>0</v>
      </c>
    </row>
    <row r="364" spans="1:8" ht="24">
      <c r="A364" s="382" t="s">
        <v>2017</v>
      </c>
      <c r="B364" s="799">
        <v>720200200205000</v>
      </c>
      <c r="C364" s="320" t="s">
        <v>440</v>
      </c>
      <c r="D364" s="321"/>
      <c r="E364" s="326">
        <f t="shared" si="5"/>
        <v>0</v>
      </c>
      <c r="F364" s="351"/>
      <c r="G364" s="351"/>
      <c r="H364" s="326">
        <v>0</v>
      </c>
    </row>
    <row r="365" spans="1:8">
      <c r="A365" s="393" t="s">
        <v>1970</v>
      </c>
      <c r="B365" s="800" t="s">
        <v>443</v>
      </c>
      <c r="C365" s="316" t="s">
        <v>1751</v>
      </c>
      <c r="D365" s="318"/>
      <c r="E365" s="362"/>
      <c r="F365" s="362"/>
      <c r="G365" s="362"/>
      <c r="H365" s="362">
        <v>0</v>
      </c>
    </row>
    <row r="366" spans="1:8">
      <c r="A366" s="382" t="s">
        <v>2017</v>
      </c>
      <c r="B366" s="799">
        <v>720200200206000</v>
      </c>
      <c r="C366" s="320" t="s">
        <v>442</v>
      </c>
      <c r="D366" s="321"/>
      <c r="E366" s="326">
        <f t="shared" si="5"/>
        <v>3.41</v>
      </c>
      <c r="F366" s="351">
        <v>3.41</v>
      </c>
      <c r="G366" s="351"/>
      <c r="H366" s="326">
        <v>321.62</v>
      </c>
    </row>
    <row r="367" spans="1:8">
      <c r="A367" s="393" t="s">
        <v>1970</v>
      </c>
      <c r="B367" s="800" t="s">
        <v>445</v>
      </c>
      <c r="C367" s="316" t="s">
        <v>1752</v>
      </c>
      <c r="D367" s="318"/>
      <c r="E367" s="362"/>
      <c r="F367" s="362"/>
      <c r="G367" s="362"/>
      <c r="H367" s="362">
        <v>0</v>
      </c>
    </row>
    <row r="368" spans="1:8">
      <c r="A368" s="382" t="s">
        <v>2017</v>
      </c>
      <c r="B368" s="799">
        <v>720200200209000</v>
      </c>
      <c r="C368" s="320" t="s">
        <v>444</v>
      </c>
      <c r="D368" s="321"/>
      <c r="E368" s="326">
        <f t="shared" si="5"/>
        <v>1254446.9600000002</v>
      </c>
      <c r="F368" s="351">
        <f>1268146.36-13699.4</f>
        <v>1254446.9600000002</v>
      </c>
      <c r="G368" s="351"/>
      <c r="H368" s="326">
        <v>2638611.5699999998</v>
      </c>
    </row>
    <row r="369" spans="1:8">
      <c r="A369" s="393" t="s">
        <v>1967</v>
      </c>
      <c r="B369" s="800" t="s">
        <v>1753</v>
      </c>
      <c r="C369" s="316" t="s">
        <v>2590</v>
      </c>
      <c r="D369" s="318"/>
      <c r="E369" s="362"/>
      <c r="F369" s="362"/>
      <c r="G369" s="362"/>
      <c r="H369" s="362">
        <v>0</v>
      </c>
    </row>
    <row r="370" spans="1:8">
      <c r="A370" s="393" t="s">
        <v>1969</v>
      </c>
      <c r="B370" s="800" t="s">
        <v>447</v>
      </c>
      <c r="C370" s="316" t="s">
        <v>1755</v>
      </c>
      <c r="D370" s="318" t="s">
        <v>1248</v>
      </c>
      <c r="E370" s="362"/>
      <c r="F370" s="362"/>
      <c r="G370" s="362"/>
      <c r="H370" s="362">
        <v>0</v>
      </c>
    </row>
    <row r="371" spans="1:8">
      <c r="A371" s="382" t="s">
        <v>1970</v>
      </c>
      <c r="B371" s="799">
        <v>720200300100000</v>
      </c>
      <c r="C371" s="320" t="s">
        <v>446</v>
      </c>
      <c r="D371" s="321" t="s">
        <v>1248</v>
      </c>
      <c r="E371" s="326">
        <f t="shared" si="5"/>
        <v>168</v>
      </c>
      <c r="F371" s="351">
        <v>168</v>
      </c>
      <c r="G371" s="351"/>
      <c r="H371" s="326">
        <v>0</v>
      </c>
    </row>
    <row r="372" spans="1:8">
      <c r="A372" s="393" t="s">
        <v>1969</v>
      </c>
      <c r="B372" s="800" t="s">
        <v>1756</v>
      </c>
      <c r="C372" s="316" t="s">
        <v>1757</v>
      </c>
      <c r="D372" s="318"/>
      <c r="E372" s="362"/>
      <c r="F372" s="362"/>
      <c r="G372" s="362"/>
      <c r="H372" s="362">
        <v>0</v>
      </c>
    </row>
    <row r="373" spans="1:8">
      <c r="A373" s="393" t="s">
        <v>1970</v>
      </c>
      <c r="B373" s="800" t="s">
        <v>449</v>
      </c>
      <c r="C373" s="316" t="s">
        <v>1758</v>
      </c>
      <c r="D373" s="318"/>
      <c r="E373" s="362"/>
      <c r="F373" s="362"/>
      <c r="G373" s="362"/>
      <c r="H373" s="362">
        <v>0</v>
      </c>
    </row>
    <row r="374" spans="1:8">
      <c r="A374" s="382" t="s">
        <v>2017</v>
      </c>
      <c r="B374" s="799">
        <v>720200300201000</v>
      </c>
      <c r="C374" s="320" t="s">
        <v>448</v>
      </c>
      <c r="D374" s="321"/>
      <c r="E374" s="326">
        <f t="shared" si="5"/>
        <v>0</v>
      </c>
      <c r="F374" s="351"/>
      <c r="G374" s="351"/>
      <c r="H374" s="326">
        <v>0</v>
      </c>
    </row>
    <row r="375" spans="1:8">
      <c r="A375" s="393" t="s">
        <v>1970</v>
      </c>
      <c r="B375" s="800" t="s">
        <v>451</v>
      </c>
      <c r="C375" s="316" t="s">
        <v>1759</v>
      </c>
      <c r="D375" s="318"/>
      <c r="E375" s="362"/>
      <c r="F375" s="362"/>
      <c r="G375" s="362"/>
      <c r="H375" s="362">
        <v>0</v>
      </c>
    </row>
    <row r="376" spans="1:8">
      <c r="A376" s="382" t="s">
        <v>2017</v>
      </c>
      <c r="B376" s="799">
        <v>720200300202000</v>
      </c>
      <c r="C376" s="320" t="s">
        <v>450</v>
      </c>
      <c r="D376" s="321"/>
      <c r="E376" s="334">
        <f t="shared" si="5"/>
        <v>0</v>
      </c>
      <c r="F376" s="353"/>
      <c r="G376" s="353"/>
      <c r="H376" s="334">
        <v>0</v>
      </c>
    </row>
    <row r="377" spans="1:8">
      <c r="A377" s="393" t="s">
        <v>1970</v>
      </c>
      <c r="B377" s="800" t="s">
        <v>453</v>
      </c>
      <c r="C377" s="316" t="s">
        <v>1760</v>
      </c>
      <c r="D377" s="318"/>
      <c r="E377" s="362"/>
      <c r="F377" s="362"/>
      <c r="G377" s="362"/>
      <c r="H377" s="362">
        <v>0</v>
      </c>
    </row>
    <row r="378" spans="1:8">
      <c r="A378" s="382" t="s">
        <v>2017</v>
      </c>
      <c r="B378" s="799">
        <v>720200300203000</v>
      </c>
      <c r="C378" s="320" t="s">
        <v>452</v>
      </c>
      <c r="D378" s="321"/>
      <c r="E378" s="326">
        <f t="shared" si="5"/>
        <v>0</v>
      </c>
      <c r="F378" s="351"/>
      <c r="G378" s="351"/>
      <c r="H378" s="326">
        <v>0</v>
      </c>
    </row>
    <row r="379" spans="1:8">
      <c r="A379" s="393" t="s">
        <v>1970</v>
      </c>
      <c r="B379" s="800" t="s">
        <v>455</v>
      </c>
      <c r="C379" s="316" t="s">
        <v>1761</v>
      </c>
      <c r="D379" s="318"/>
      <c r="E379" s="362"/>
      <c r="F379" s="362"/>
      <c r="G379" s="362"/>
      <c r="H379" s="362">
        <v>0</v>
      </c>
    </row>
    <row r="380" spans="1:8">
      <c r="A380" s="382" t="s">
        <v>2017</v>
      </c>
      <c r="B380" s="799">
        <v>720200300204000</v>
      </c>
      <c r="C380" s="320" t="s">
        <v>454</v>
      </c>
      <c r="D380" s="321"/>
      <c r="E380" s="326">
        <f t="shared" si="5"/>
        <v>0</v>
      </c>
      <c r="F380" s="351"/>
      <c r="G380" s="351"/>
      <c r="H380" s="326">
        <v>0</v>
      </c>
    </row>
    <row r="381" spans="1:8" ht="25.5">
      <c r="A381" s="393" t="s">
        <v>1970</v>
      </c>
      <c r="B381" s="800" t="s">
        <v>457</v>
      </c>
      <c r="C381" s="316" t="s">
        <v>1762</v>
      </c>
      <c r="D381" s="318"/>
      <c r="E381" s="362"/>
      <c r="F381" s="362"/>
      <c r="G381" s="362"/>
      <c r="H381" s="362">
        <v>0</v>
      </c>
    </row>
    <row r="382" spans="1:8" ht="24">
      <c r="A382" s="382" t="s">
        <v>2017</v>
      </c>
      <c r="B382" s="799">
        <v>720200300205000</v>
      </c>
      <c r="C382" s="320" t="s">
        <v>456</v>
      </c>
      <c r="D382" s="321"/>
      <c r="E382" s="326">
        <f t="shared" si="5"/>
        <v>0</v>
      </c>
      <c r="F382" s="351"/>
      <c r="G382" s="351"/>
      <c r="H382" s="326">
        <v>0</v>
      </c>
    </row>
    <row r="383" spans="1:8">
      <c r="A383" s="393" t="s">
        <v>1970</v>
      </c>
      <c r="B383" s="800" t="s">
        <v>459</v>
      </c>
      <c r="C383" s="316" t="s">
        <v>1763</v>
      </c>
      <c r="D383" s="318"/>
      <c r="E383" s="362"/>
      <c r="F383" s="362"/>
      <c r="G383" s="362"/>
      <c r="H383" s="362">
        <v>0</v>
      </c>
    </row>
    <row r="384" spans="1:8">
      <c r="A384" s="382" t="s">
        <v>2017</v>
      </c>
      <c r="B384" s="799">
        <v>720200300206000</v>
      </c>
      <c r="C384" s="320" t="s">
        <v>458</v>
      </c>
      <c r="D384" s="321"/>
      <c r="E384" s="326">
        <f t="shared" si="5"/>
        <v>0</v>
      </c>
      <c r="F384" s="351"/>
      <c r="G384" s="351"/>
      <c r="H384" s="326">
        <v>0</v>
      </c>
    </row>
    <row r="385" spans="1:188">
      <c r="A385" s="393" t="s">
        <v>1970</v>
      </c>
      <c r="B385" s="800" t="s">
        <v>461</v>
      </c>
      <c r="C385" s="316" t="s">
        <v>1764</v>
      </c>
      <c r="D385" s="318"/>
      <c r="E385" s="362"/>
      <c r="F385" s="362"/>
      <c r="G385" s="362"/>
      <c r="H385" s="362">
        <v>0</v>
      </c>
    </row>
    <row r="386" spans="1:188">
      <c r="A386" s="382" t="s">
        <v>2017</v>
      </c>
      <c r="B386" s="799">
        <v>720200300209000</v>
      </c>
      <c r="C386" s="320" t="s">
        <v>460</v>
      </c>
      <c r="D386" s="321"/>
      <c r="E386" s="326">
        <f t="shared" si="5"/>
        <v>12355.88</v>
      </c>
      <c r="F386" s="351">
        <v>12355.88</v>
      </c>
      <c r="G386" s="351"/>
      <c r="H386" s="326">
        <v>22179.18</v>
      </c>
    </row>
    <row r="387" spans="1:188">
      <c r="A387" s="393" t="s">
        <v>1967</v>
      </c>
      <c r="B387" s="800" t="s">
        <v>462</v>
      </c>
      <c r="C387" s="316" t="s">
        <v>1765</v>
      </c>
      <c r="D387" s="318"/>
      <c r="E387" s="362"/>
      <c r="F387" s="362"/>
      <c r="G387" s="362"/>
      <c r="H387" s="362">
        <v>0</v>
      </c>
    </row>
    <row r="388" spans="1:188" ht="13.5" thickBot="1">
      <c r="A388" s="383" t="s">
        <v>1969</v>
      </c>
      <c r="B388" s="803">
        <v>720200400000000</v>
      </c>
      <c r="C388" s="385" t="s">
        <v>422</v>
      </c>
      <c r="D388" s="386"/>
      <c r="E388" s="397">
        <f t="shared" si="5"/>
        <v>16.73</v>
      </c>
      <c r="F388" s="809">
        <v>16.73</v>
      </c>
      <c r="G388" s="397"/>
      <c r="H388" s="397">
        <v>415.25</v>
      </c>
    </row>
    <row r="389" spans="1:188" s="338" customFormat="1">
      <c r="A389" s="377"/>
      <c r="B389" s="378"/>
      <c r="C389" s="379" t="s">
        <v>1860</v>
      </c>
      <c r="D389" s="380"/>
      <c r="E389" s="381">
        <f t="shared" ref="E389:H389" si="6">SUM(E7:E388)</f>
        <v>581477355.26000011</v>
      </c>
      <c r="F389" s="381">
        <f t="shared" si="6"/>
        <v>581477355.26000011</v>
      </c>
      <c r="G389" s="381">
        <f t="shared" si="6"/>
        <v>0</v>
      </c>
      <c r="H389" s="381">
        <f t="shared" si="6"/>
        <v>513256834.44999993</v>
      </c>
    </row>
    <row r="390" spans="1:188" s="338" customFormat="1">
      <c r="A390" s="382"/>
      <c r="B390" s="319"/>
      <c r="C390" s="320" t="s">
        <v>2594</v>
      </c>
      <c r="D390" s="321"/>
      <c r="E390" s="334">
        <f>+'Alim CE Costi'!E1243</f>
        <v>580518000.52999997</v>
      </c>
      <c r="F390" s="334">
        <f>+'Alim CE Costi'!F1243</f>
        <v>580518000.52999997</v>
      </c>
      <c r="G390" s="334">
        <f>+'Alim CE Costi'!G1243</f>
        <v>0</v>
      </c>
      <c r="H390" s="334">
        <f>+'Alim CE Costi'!H1243</f>
        <v>510381872.98360014</v>
      </c>
    </row>
    <row r="391" spans="1:188" s="338" customFormat="1" ht="13.5" thickBot="1">
      <c r="A391" s="383"/>
      <c r="B391" s="384"/>
      <c r="C391" s="385" t="s">
        <v>1815</v>
      </c>
      <c r="D391" s="386"/>
      <c r="E391" s="387">
        <f t="shared" ref="E391:H391" si="7">+E389-E390</f>
        <v>959354.73000013828</v>
      </c>
      <c r="F391" s="387">
        <f t="shared" si="7"/>
        <v>959354.73000013828</v>
      </c>
      <c r="G391" s="387">
        <f t="shared" si="7"/>
        <v>0</v>
      </c>
      <c r="H391" s="387">
        <f t="shared" si="7"/>
        <v>2874961.4663997889</v>
      </c>
    </row>
    <row r="392" spans="1:188">
      <c r="A392" s="147"/>
      <c r="B392" s="147"/>
      <c r="C392" s="51"/>
      <c r="D392" s="52"/>
      <c r="E392" s="47"/>
      <c r="F392" s="47"/>
      <c r="G392" s="47"/>
      <c r="H392" s="47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/>
      <c r="CD392" s="50"/>
      <c r="CE392" s="50"/>
      <c r="CF392" s="50"/>
      <c r="CG392" s="50"/>
      <c r="CH392" s="50"/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/>
      <c r="CZ392" s="50"/>
      <c r="DA392" s="50"/>
      <c r="DB392" s="50"/>
      <c r="DC392" s="50"/>
      <c r="DD392" s="50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0"/>
      <c r="EE392" s="50"/>
      <c r="EF392" s="50"/>
      <c r="EG392" s="50"/>
      <c r="EH392" s="50"/>
      <c r="EI392" s="50"/>
      <c r="EJ392" s="50"/>
      <c r="EK392" s="50"/>
      <c r="EL392" s="50"/>
      <c r="EM392" s="50"/>
      <c r="EN392" s="50"/>
      <c r="EO392" s="50"/>
      <c r="EP392" s="50"/>
      <c r="EQ392" s="50"/>
      <c r="ER392" s="50"/>
      <c r="ES392" s="50"/>
      <c r="ET392" s="50"/>
      <c r="EU392" s="50"/>
      <c r="EV392" s="50"/>
      <c r="EW392" s="50"/>
      <c r="EX392" s="50"/>
      <c r="EY392" s="50"/>
      <c r="EZ392" s="50"/>
      <c r="FA392" s="50"/>
      <c r="FB392" s="50"/>
      <c r="FC392" s="50"/>
      <c r="FD392" s="50"/>
      <c r="FE392" s="50"/>
      <c r="FF392" s="50"/>
      <c r="FG392" s="50"/>
      <c r="FH392" s="50"/>
      <c r="FI392" s="50"/>
      <c r="FJ392" s="50"/>
      <c r="FK392" s="50"/>
      <c r="FL392" s="50"/>
      <c r="FM392" s="50"/>
      <c r="FN392" s="50"/>
      <c r="FO392" s="50"/>
      <c r="FP392" s="50"/>
      <c r="FQ392" s="50"/>
      <c r="FR392" s="50"/>
      <c r="FS392" s="50"/>
      <c r="FT392" s="50"/>
      <c r="FU392" s="50"/>
      <c r="FV392" s="50"/>
      <c r="FW392" s="50"/>
      <c r="FX392" s="50"/>
      <c r="FY392" s="50"/>
      <c r="FZ392" s="50"/>
      <c r="GA392" s="50"/>
      <c r="GB392" s="50"/>
      <c r="GC392" s="50"/>
      <c r="GD392" s="50"/>
      <c r="GE392" s="50"/>
      <c r="GF392" s="50"/>
    </row>
    <row r="393" spans="1:188">
      <c r="A393" s="147"/>
      <c r="B393" s="147"/>
      <c r="C393" s="51"/>
      <c r="D393" s="52"/>
      <c r="E393" s="47"/>
      <c r="F393" s="47"/>
      <c r="G393" s="47"/>
      <c r="H393" s="47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/>
      <c r="CD393" s="50"/>
      <c r="CE393" s="50"/>
      <c r="CF393" s="50"/>
      <c r="CG393" s="50"/>
      <c r="CH393" s="50"/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/>
      <c r="CZ393" s="50"/>
      <c r="DA393" s="50"/>
      <c r="DB393" s="50"/>
      <c r="DC393" s="50"/>
      <c r="DD393" s="50"/>
      <c r="DE393" s="50"/>
      <c r="DF393" s="50"/>
      <c r="DG393" s="50"/>
      <c r="DH393" s="50"/>
      <c r="DI393" s="50"/>
      <c r="DJ393" s="50"/>
      <c r="DK393" s="50"/>
      <c r="DL393" s="50"/>
      <c r="DM393" s="50"/>
      <c r="DN393" s="50"/>
      <c r="DO393" s="50"/>
      <c r="DP393" s="50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0"/>
      <c r="EE393" s="50"/>
      <c r="EF393" s="50"/>
      <c r="EG393" s="50"/>
      <c r="EH393" s="50"/>
      <c r="EI393" s="50"/>
      <c r="EJ393" s="50"/>
      <c r="EK393" s="50"/>
      <c r="EL393" s="50"/>
      <c r="EM393" s="50"/>
      <c r="EN393" s="50"/>
      <c r="EO393" s="50"/>
      <c r="EP393" s="50"/>
      <c r="EQ393" s="50"/>
      <c r="ER393" s="50"/>
      <c r="ES393" s="50"/>
      <c r="ET393" s="50"/>
      <c r="EU393" s="50"/>
      <c r="EV393" s="50"/>
      <c r="EW393" s="50"/>
      <c r="EX393" s="50"/>
      <c r="EY393" s="50"/>
      <c r="EZ393" s="50"/>
      <c r="FA393" s="50"/>
      <c r="FB393" s="50"/>
      <c r="FC393" s="50"/>
      <c r="FD393" s="50"/>
      <c r="FE393" s="50"/>
      <c r="FF393" s="50"/>
      <c r="FG393" s="50"/>
      <c r="FH393" s="50"/>
      <c r="FI393" s="50"/>
      <c r="FJ393" s="50"/>
      <c r="FK393" s="50"/>
      <c r="FL393" s="50"/>
      <c r="FM393" s="50"/>
      <c r="FN393" s="50"/>
      <c r="FO393" s="50"/>
      <c r="FP393" s="50"/>
      <c r="FQ393" s="50"/>
      <c r="FR393" s="50"/>
      <c r="FS393" s="50"/>
      <c r="FT393" s="50"/>
      <c r="FU393" s="50"/>
      <c r="FV393" s="50"/>
      <c r="FW393" s="50"/>
      <c r="FX393" s="50"/>
      <c r="FY393" s="50"/>
      <c r="FZ393" s="50"/>
      <c r="GA393" s="50"/>
      <c r="GB393" s="50"/>
      <c r="GC393" s="50"/>
      <c r="GD393" s="50"/>
      <c r="GE393" s="50"/>
      <c r="GF393" s="50"/>
    </row>
    <row r="394" spans="1:188">
      <c r="A394" s="147"/>
      <c r="B394" s="147"/>
      <c r="C394" s="51"/>
      <c r="D394" s="52"/>
      <c r="E394" s="47"/>
      <c r="F394" s="47"/>
      <c r="G394" s="47"/>
      <c r="H394" s="47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/>
      <c r="CD394" s="50"/>
      <c r="CE394" s="50"/>
      <c r="CF394" s="50"/>
      <c r="CG394" s="50"/>
      <c r="CH394" s="50"/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/>
      <c r="CZ394" s="50"/>
      <c r="DA394" s="50"/>
      <c r="DB394" s="50"/>
      <c r="DC394" s="50"/>
      <c r="DD394" s="50"/>
      <c r="DE394" s="50"/>
      <c r="DF394" s="50"/>
      <c r="DG394" s="50"/>
      <c r="DH394" s="50"/>
      <c r="DI394" s="50"/>
      <c r="DJ394" s="50"/>
      <c r="DK394" s="50"/>
      <c r="DL394" s="50"/>
      <c r="DM394" s="50"/>
      <c r="DN394" s="50"/>
      <c r="DO394" s="50"/>
      <c r="DP394" s="50"/>
      <c r="DQ394" s="50"/>
      <c r="DR394" s="50"/>
      <c r="DS394" s="50"/>
      <c r="DT394" s="50"/>
      <c r="DU394" s="50"/>
      <c r="DV394" s="50"/>
      <c r="DW394" s="50"/>
      <c r="DX394" s="50"/>
      <c r="DY394" s="50"/>
      <c r="DZ394" s="50"/>
      <c r="EA394" s="50"/>
      <c r="EB394" s="50"/>
      <c r="EC394" s="50"/>
      <c r="ED394" s="50"/>
      <c r="EE394" s="50"/>
      <c r="EF394" s="50"/>
      <c r="EG394" s="50"/>
      <c r="EH394" s="50"/>
      <c r="EI394" s="50"/>
      <c r="EJ394" s="50"/>
      <c r="EK394" s="50"/>
      <c r="EL394" s="50"/>
      <c r="EM394" s="50"/>
      <c r="EN394" s="50"/>
      <c r="EO394" s="50"/>
      <c r="EP394" s="50"/>
      <c r="EQ394" s="50"/>
      <c r="ER394" s="50"/>
      <c r="ES394" s="50"/>
      <c r="ET394" s="50"/>
      <c r="EU394" s="50"/>
      <c r="EV394" s="50"/>
      <c r="EW394" s="50"/>
      <c r="EX394" s="50"/>
      <c r="EY394" s="50"/>
      <c r="EZ394" s="50"/>
      <c r="FA394" s="50"/>
      <c r="FB394" s="50"/>
      <c r="FC394" s="50"/>
      <c r="FD394" s="50"/>
      <c r="FE394" s="50"/>
      <c r="FF394" s="50"/>
      <c r="FG394" s="50"/>
      <c r="FH394" s="50"/>
      <c r="FI394" s="50"/>
      <c r="FJ394" s="50"/>
      <c r="FK394" s="50"/>
      <c r="FL394" s="50"/>
      <c r="FM394" s="50"/>
      <c r="FN394" s="50"/>
      <c r="FO394" s="50"/>
      <c r="FP394" s="50"/>
      <c r="FQ394" s="50"/>
      <c r="FR394" s="50"/>
      <c r="FS394" s="50"/>
      <c r="FT394" s="50"/>
      <c r="FU394" s="50"/>
      <c r="FV394" s="50"/>
      <c r="FW394" s="50"/>
      <c r="FX394" s="50"/>
      <c r="FY394" s="50"/>
      <c r="FZ394" s="50"/>
      <c r="GA394" s="50"/>
      <c r="GB394" s="50"/>
      <c r="GC394" s="50"/>
      <c r="GD394" s="50"/>
      <c r="GE394" s="50"/>
      <c r="GF394" s="50"/>
    </row>
    <row r="395" spans="1:188">
      <c r="A395" s="147"/>
      <c r="B395" s="147"/>
      <c r="C395" s="51"/>
      <c r="D395" s="52"/>
      <c r="E395" s="47"/>
      <c r="F395" s="47"/>
      <c r="G395" s="47"/>
      <c r="H395" s="47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/>
      <c r="CD395" s="50"/>
      <c r="CE395" s="50"/>
      <c r="CF395" s="50"/>
      <c r="CG395" s="50"/>
      <c r="CH395" s="50"/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/>
      <c r="CZ395" s="50"/>
      <c r="DA395" s="50"/>
      <c r="DB395" s="50"/>
      <c r="DC395" s="50"/>
      <c r="DD395" s="50"/>
      <c r="DE395" s="50"/>
      <c r="DF395" s="50"/>
      <c r="DG395" s="50"/>
      <c r="DH395" s="50"/>
      <c r="DI395" s="50"/>
      <c r="DJ395" s="50"/>
      <c r="DK395" s="50"/>
      <c r="DL395" s="50"/>
      <c r="DM395" s="50"/>
      <c r="DN395" s="50"/>
      <c r="DO395" s="50"/>
      <c r="DP395" s="50"/>
      <c r="DQ395" s="50"/>
      <c r="DR395" s="50"/>
      <c r="DS395" s="50"/>
      <c r="DT395" s="50"/>
      <c r="DU395" s="50"/>
      <c r="DV395" s="50"/>
      <c r="DW395" s="50"/>
      <c r="DX395" s="50"/>
      <c r="DY395" s="50"/>
      <c r="DZ395" s="50"/>
      <c r="EA395" s="50"/>
      <c r="EB395" s="50"/>
      <c r="EC395" s="50"/>
      <c r="ED395" s="50"/>
      <c r="EE395" s="50"/>
      <c r="EF395" s="50"/>
      <c r="EG395" s="50"/>
      <c r="EH395" s="50"/>
      <c r="EI395" s="50"/>
      <c r="EJ395" s="50"/>
      <c r="EK395" s="50"/>
      <c r="EL395" s="50"/>
      <c r="EM395" s="50"/>
      <c r="EN395" s="50"/>
      <c r="EO395" s="50"/>
      <c r="EP395" s="50"/>
      <c r="EQ395" s="50"/>
      <c r="ER395" s="50"/>
      <c r="ES395" s="50"/>
      <c r="ET395" s="50"/>
      <c r="EU395" s="50"/>
      <c r="EV395" s="50"/>
      <c r="EW395" s="50"/>
      <c r="EX395" s="50"/>
      <c r="EY395" s="50"/>
      <c r="EZ395" s="50"/>
      <c r="FA395" s="50"/>
      <c r="FB395" s="50"/>
      <c r="FC395" s="50"/>
      <c r="FD395" s="50"/>
      <c r="FE395" s="50"/>
      <c r="FF395" s="50"/>
      <c r="FG395" s="50"/>
      <c r="FH395" s="50"/>
      <c r="FI395" s="50"/>
      <c r="FJ395" s="50"/>
      <c r="FK395" s="50"/>
      <c r="FL395" s="50"/>
      <c r="FM395" s="50"/>
      <c r="FN395" s="50"/>
      <c r="FO395" s="50"/>
      <c r="FP395" s="50"/>
      <c r="FQ395" s="50"/>
      <c r="FR395" s="50"/>
      <c r="FS395" s="50"/>
      <c r="FT395" s="50"/>
      <c r="FU395" s="50"/>
      <c r="FV395" s="50"/>
      <c r="FW395" s="50"/>
      <c r="FX395" s="50"/>
      <c r="FY395" s="50"/>
      <c r="FZ395" s="50"/>
      <c r="GA395" s="50"/>
      <c r="GB395" s="50"/>
      <c r="GC395" s="50"/>
      <c r="GD395" s="50"/>
      <c r="GE395" s="50"/>
      <c r="GF395" s="50"/>
    </row>
    <row r="396" spans="1:188">
      <c r="A396" s="147"/>
      <c r="B396" s="147"/>
      <c r="C396" s="51"/>
      <c r="D396" s="52"/>
      <c r="E396" s="47"/>
      <c r="F396" s="47"/>
      <c r="G396" s="47"/>
      <c r="H396" s="47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/>
      <c r="CD396" s="50"/>
      <c r="CE396" s="50"/>
      <c r="CF396" s="50"/>
      <c r="CG396" s="50"/>
      <c r="CH396" s="50"/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/>
      <c r="CZ396" s="50"/>
      <c r="DA396" s="50"/>
      <c r="DB396" s="50"/>
      <c r="DC396" s="50"/>
      <c r="DD396" s="50"/>
      <c r="DE396" s="50"/>
      <c r="DF396" s="50"/>
      <c r="DG396" s="50"/>
      <c r="DH396" s="50"/>
      <c r="DI396" s="50"/>
      <c r="DJ396" s="50"/>
      <c r="DK396" s="50"/>
      <c r="DL396" s="50"/>
      <c r="DM396" s="50"/>
      <c r="DN396" s="50"/>
      <c r="DO396" s="50"/>
      <c r="DP396" s="50"/>
      <c r="DQ396" s="50"/>
      <c r="DR396" s="50"/>
      <c r="DS396" s="50"/>
      <c r="DT396" s="50"/>
      <c r="DU396" s="50"/>
      <c r="DV396" s="50"/>
      <c r="DW396" s="50"/>
      <c r="DX396" s="50"/>
      <c r="DY396" s="50"/>
      <c r="DZ396" s="50"/>
      <c r="EA396" s="50"/>
      <c r="EB396" s="50"/>
      <c r="EC396" s="50"/>
      <c r="ED396" s="50"/>
      <c r="EE396" s="50"/>
      <c r="EF396" s="50"/>
      <c r="EG396" s="50"/>
      <c r="EH396" s="50"/>
      <c r="EI396" s="50"/>
      <c r="EJ396" s="50"/>
      <c r="EK396" s="50"/>
      <c r="EL396" s="50"/>
      <c r="EM396" s="50"/>
      <c r="EN396" s="50"/>
      <c r="EO396" s="50"/>
      <c r="EP396" s="50"/>
      <c r="EQ396" s="50"/>
      <c r="ER396" s="50"/>
      <c r="ES396" s="50"/>
      <c r="ET396" s="50"/>
      <c r="EU396" s="50"/>
      <c r="EV396" s="50"/>
      <c r="EW396" s="50"/>
      <c r="EX396" s="50"/>
      <c r="EY396" s="50"/>
      <c r="EZ396" s="50"/>
      <c r="FA396" s="50"/>
      <c r="FB396" s="50"/>
      <c r="FC396" s="50"/>
      <c r="FD396" s="50"/>
      <c r="FE396" s="50"/>
      <c r="FF396" s="50"/>
      <c r="FG396" s="50"/>
      <c r="FH396" s="50"/>
      <c r="FI396" s="50"/>
      <c r="FJ396" s="50"/>
      <c r="FK396" s="50"/>
      <c r="FL396" s="50"/>
      <c r="FM396" s="50"/>
      <c r="FN396" s="50"/>
      <c r="FO396" s="50"/>
      <c r="FP396" s="50"/>
      <c r="FQ396" s="50"/>
      <c r="FR396" s="50"/>
      <c r="FS396" s="50"/>
      <c r="FT396" s="50"/>
      <c r="FU396" s="50"/>
      <c r="FV396" s="50"/>
      <c r="FW396" s="50"/>
      <c r="FX396" s="50"/>
      <c r="FY396" s="50"/>
      <c r="FZ396" s="50"/>
      <c r="GA396" s="50"/>
      <c r="GB396" s="50"/>
      <c r="GC396" s="50"/>
      <c r="GD396" s="50"/>
      <c r="GE396" s="50"/>
      <c r="GF396" s="50"/>
    </row>
    <row r="397" spans="1:188">
      <c r="A397" s="147"/>
      <c r="B397" s="147"/>
      <c r="C397" s="51"/>
      <c r="D397" s="52"/>
      <c r="E397" s="47"/>
      <c r="F397" s="47"/>
      <c r="G397" s="47"/>
      <c r="H397" s="47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/>
      <c r="CZ397" s="50"/>
      <c r="DA397" s="50"/>
      <c r="DB397" s="50"/>
      <c r="DC397" s="50"/>
      <c r="DD397" s="50"/>
      <c r="DE397" s="50"/>
      <c r="DF397" s="50"/>
      <c r="DG397" s="50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50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50"/>
      <c r="ET397" s="50"/>
      <c r="EU397" s="50"/>
      <c r="EV397" s="50"/>
      <c r="EW397" s="50"/>
      <c r="EX397" s="50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50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50"/>
      <c r="FW397" s="50"/>
      <c r="FX397" s="50"/>
      <c r="FY397" s="50"/>
      <c r="FZ397" s="50"/>
      <c r="GA397" s="50"/>
      <c r="GB397" s="50"/>
      <c r="GC397" s="50"/>
      <c r="GD397" s="50"/>
      <c r="GE397" s="50"/>
      <c r="GF397" s="50"/>
    </row>
    <row r="398" spans="1:188">
      <c r="A398" s="147"/>
      <c r="B398" s="147"/>
      <c r="C398" s="51"/>
      <c r="D398" s="52"/>
      <c r="E398" s="47"/>
      <c r="F398" s="47"/>
      <c r="G398" s="47"/>
      <c r="H398" s="47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/>
      <c r="CD398" s="50"/>
      <c r="CE398" s="50"/>
      <c r="CF398" s="50"/>
      <c r="CG398" s="50"/>
      <c r="CH398" s="50"/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/>
      <c r="CZ398" s="50"/>
      <c r="DA398" s="50"/>
      <c r="DB398" s="50"/>
      <c r="DC398" s="50"/>
      <c r="DD398" s="50"/>
      <c r="DE398" s="50"/>
      <c r="DF398" s="50"/>
      <c r="DG398" s="50"/>
      <c r="DH398" s="50"/>
      <c r="DI398" s="50"/>
      <c r="DJ398" s="50"/>
      <c r="DK398" s="50"/>
      <c r="DL398" s="50"/>
      <c r="DM398" s="50"/>
      <c r="DN398" s="50"/>
      <c r="DO398" s="50"/>
      <c r="DP398" s="50"/>
      <c r="DQ398" s="50"/>
      <c r="DR398" s="50"/>
      <c r="DS398" s="50"/>
      <c r="DT398" s="50"/>
      <c r="DU398" s="50"/>
      <c r="DV398" s="50"/>
      <c r="DW398" s="50"/>
      <c r="DX398" s="50"/>
      <c r="DY398" s="50"/>
      <c r="DZ398" s="50"/>
      <c r="EA398" s="50"/>
      <c r="EB398" s="50"/>
      <c r="EC398" s="50"/>
      <c r="ED398" s="50"/>
      <c r="EE398" s="50"/>
      <c r="EF398" s="50"/>
      <c r="EG398" s="50"/>
      <c r="EH398" s="50"/>
      <c r="EI398" s="50"/>
      <c r="EJ398" s="50"/>
      <c r="EK398" s="50"/>
      <c r="EL398" s="50"/>
      <c r="EM398" s="50"/>
      <c r="EN398" s="50"/>
      <c r="EO398" s="50"/>
      <c r="EP398" s="50"/>
      <c r="EQ398" s="50"/>
      <c r="ER398" s="50"/>
      <c r="ES398" s="50"/>
      <c r="ET398" s="50"/>
      <c r="EU398" s="50"/>
      <c r="EV398" s="50"/>
      <c r="EW398" s="50"/>
      <c r="EX398" s="50"/>
      <c r="EY398" s="50"/>
      <c r="EZ398" s="50"/>
      <c r="FA398" s="50"/>
      <c r="FB398" s="50"/>
      <c r="FC398" s="50"/>
      <c r="FD398" s="50"/>
      <c r="FE398" s="50"/>
      <c r="FF398" s="50"/>
      <c r="FG398" s="50"/>
      <c r="FH398" s="50"/>
      <c r="FI398" s="50"/>
      <c r="FJ398" s="50"/>
      <c r="FK398" s="50"/>
      <c r="FL398" s="50"/>
      <c r="FM398" s="50"/>
      <c r="FN398" s="50"/>
      <c r="FO398" s="50"/>
      <c r="FP398" s="50"/>
      <c r="FQ398" s="50"/>
      <c r="FR398" s="50"/>
      <c r="FS398" s="50"/>
      <c r="FT398" s="50"/>
      <c r="FU398" s="50"/>
      <c r="FV398" s="50"/>
      <c r="FW398" s="50"/>
      <c r="FX398" s="50"/>
      <c r="FY398" s="50"/>
      <c r="FZ398" s="50"/>
      <c r="GA398" s="50"/>
      <c r="GB398" s="50"/>
      <c r="GC398" s="50"/>
      <c r="GD398" s="50"/>
      <c r="GE398" s="50"/>
      <c r="GF398" s="50"/>
    </row>
    <row r="399" spans="1:188">
      <c r="A399" s="147"/>
      <c r="B399" s="147"/>
      <c r="C399" s="51"/>
      <c r="D399" s="52"/>
      <c r="E399" s="47"/>
      <c r="F399" s="47"/>
      <c r="G399" s="47"/>
      <c r="H399" s="47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/>
      <c r="CZ399" s="50"/>
      <c r="DA399" s="50"/>
      <c r="DB399" s="50"/>
      <c r="DC399" s="50"/>
      <c r="DD399" s="50"/>
      <c r="DE399" s="50"/>
      <c r="DF399" s="50"/>
      <c r="DG399" s="50"/>
      <c r="DH399" s="50"/>
      <c r="DI399" s="50"/>
      <c r="DJ399" s="50"/>
      <c r="DK399" s="50"/>
      <c r="DL399" s="50"/>
      <c r="DM399" s="50"/>
      <c r="DN399" s="50"/>
      <c r="DO399" s="50"/>
      <c r="DP399" s="50"/>
      <c r="DQ399" s="50"/>
      <c r="DR399" s="50"/>
      <c r="DS399" s="50"/>
      <c r="DT399" s="50"/>
      <c r="DU399" s="50"/>
      <c r="DV399" s="50"/>
      <c r="DW399" s="50"/>
      <c r="DX399" s="50"/>
      <c r="DY399" s="50"/>
      <c r="DZ399" s="50"/>
      <c r="EA399" s="50"/>
      <c r="EB399" s="50"/>
      <c r="EC399" s="50"/>
      <c r="ED399" s="50"/>
      <c r="EE399" s="50"/>
      <c r="EF399" s="50"/>
      <c r="EG399" s="50"/>
      <c r="EH399" s="50"/>
      <c r="EI399" s="50"/>
      <c r="EJ399" s="50"/>
      <c r="EK399" s="50"/>
      <c r="EL399" s="50"/>
      <c r="EM399" s="50"/>
      <c r="EN399" s="50"/>
      <c r="EO399" s="50"/>
      <c r="EP399" s="50"/>
      <c r="EQ399" s="50"/>
      <c r="ER399" s="50"/>
      <c r="ES399" s="50"/>
      <c r="ET399" s="50"/>
      <c r="EU399" s="50"/>
      <c r="EV399" s="50"/>
      <c r="EW399" s="50"/>
      <c r="EX399" s="50"/>
      <c r="EY399" s="50"/>
      <c r="EZ399" s="50"/>
      <c r="FA399" s="50"/>
      <c r="FB399" s="50"/>
      <c r="FC399" s="50"/>
      <c r="FD399" s="50"/>
      <c r="FE399" s="50"/>
      <c r="FF399" s="50"/>
      <c r="FG399" s="50"/>
      <c r="FH399" s="50"/>
      <c r="FI399" s="50"/>
      <c r="FJ399" s="50"/>
      <c r="FK399" s="50"/>
      <c r="FL399" s="50"/>
      <c r="FM399" s="50"/>
      <c r="FN399" s="50"/>
      <c r="FO399" s="50"/>
      <c r="FP399" s="50"/>
      <c r="FQ399" s="50"/>
      <c r="FR399" s="50"/>
      <c r="FS399" s="50"/>
      <c r="FT399" s="50"/>
      <c r="FU399" s="50"/>
      <c r="FV399" s="50"/>
      <c r="FW399" s="50"/>
      <c r="FX399" s="50"/>
      <c r="FY399" s="50"/>
      <c r="FZ399" s="50"/>
      <c r="GA399" s="50"/>
      <c r="GB399" s="50"/>
      <c r="GC399" s="50"/>
      <c r="GD399" s="50"/>
      <c r="GE399" s="50"/>
      <c r="GF399" s="50"/>
    </row>
    <row r="400" spans="1:188">
      <c r="A400" s="147"/>
      <c r="B400" s="147"/>
      <c r="C400" s="51"/>
      <c r="D400" s="52"/>
      <c r="E400" s="47"/>
      <c r="F400" s="47"/>
      <c r="G400" s="47"/>
      <c r="H400" s="47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/>
      <c r="CZ400" s="50"/>
      <c r="DA400" s="50"/>
      <c r="DB400" s="50"/>
      <c r="DC400" s="50"/>
      <c r="DD400" s="50"/>
      <c r="DE400" s="50"/>
      <c r="DF400" s="50"/>
      <c r="DG400" s="50"/>
      <c r="DH400" s="50"/>
      <c r="DI400" s="50"/>
      <c r="DJ400" s="50"/>
      <c r="DK400" s="50"/>
      <c r="DL400" s="50"/>
      <c r="DM400" s="50"/>
      <c r="DN400" s="50"/>
      <c r="DO400" s="50"/>
      <c r="DP400" s="50"/>
      <c r="DQ400" s="50"/>
      <c r="DR400" s="50"/>
      <c r="DS400" s="50"/>
      <c r="DT400" s="50"/>
      <c r="DU400" s="50"/>
      <c r="DV400" s="50"/>
      <c r="DW400" s="50"/>
      <c r="DX400" s="50"/>
      <c r="DY400" s="50"/>
      <c r="DZ400" s="50"/>
      <c r="EA400" s="50"/>
      <c r="EB400" s="50"/>
      <c r="EC400" s="50"/>
      <c r="ED400" s="50"/>
      <c r="EE400" s="50"/>
      <c r="EF400" s="50"/>
      <c r="EG400" s="50"/>
      <c r="EH400" s="50"/>
      <c r="EI400" s="50"/>
      <c r="EJ400" s="50"/>
      <c r="EK400" s="50"/>
      <c r="EL400" s="50"/>
      <c r="EM400" s="50"/>
      <c r="EN400" s="50"/>
      <c r="EO400" s="50"/>
      <c r="EP400" s="50"/>
      <c r="EQ400" s="50"/>
      <c r="ER400" s="50"/>
      <c r="ES400" s="50"/>
      <c r="ET400" s="50"/>
      <c r="EU400" s="50"/>
      <c r="EV400" s="50"/>
      <c r="EW400" s="50"/>
      <c r="EX400" s="50"/>
      <c r="EY400" s="50"/>
      <c r="EZ400" s="50"/>
      <c r="FA400" s="50"/>
      <c r="FB400" s="50"/>
      <c r="FC400" s="50"/>
      <c r="FD400" s="50"/>
      <c r="FE400" s="50"/>
      <c r="FF400" s="50"/>
      <c r="FG400" s="50"/>
      <c r="FH400" s="50"/>
      <c r="FI400" s="50"/>
      <c r="FJ400" s="50"/>
      <c r="FK400" s="50"/>
      <c r="FL400" s="50"/>
      <c r="FM400" s="50"/>
      <c r="FN400" s="50"/>
      <c r="FO400" s="50"/>
      <c r="FP400" s="50"/>
      <c r="FQ400" s="50"/>
      <c r="FR400" s="50"/>
      <c r="FS400" s="50"/>
      <c r="FT400" s="50"/>
      <c r="FU400" s="50"/>
      <c r="FV400" s="50"/>
      <c r="FW400" s="50"/>
      <c r="FX400" s="50"/>
      <c r="FY400" s="50"/>
      <c r="FZ400" s="50"/>
      <c r="GA400" s="50"/>
      <c r="GB400" s="50"/>
      <c r="GC400" s="50"/>
      <c r="GD400" s="50"/>
      <c r="GE400" s="50"/>
      <c r="GF400" s="50"/>
    </row>
    <row r="401" spans="1:188">
      <c r="A401" s="147"/>
      <c r="B401" s="147"/>
      <c r="C401" s="51"/>
      <c r="D401" s="52"/>
      <c r="E401" s="47"/>
      <c r="F401" s="47"/>
      <c r="G401" s="47"/>
      <c r="H401" s="47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/>
      <c r="CZ401" s="50"/>
      <c r="DA401" s="50"/>
      <c r="DB401" s="50"/>
      <c r="DC401" s="50"/>
      <c r="DD401" s="50"/>
      <c r="DE401" s="50"/>
      <c r="DF401" s="50"/>
      <c r="DG401" s="50"/>
      <c r="DH401" s="50"/>
      <c r="DI401" s="50"/>
      <c r="DJ401" s="50"/>
      <c r="DK401" s="50"/>
      <c r="DL401" s="50"/>
      <c r="DM401" s="50"/>
      <c r="DN401" s="50"/>
      <c r="DO401" s="50"/>
      <c r="DP401" s="50"/>
      <c r="DQ401" s="50"/>
      <c r="DR401" s="50"/>
      <c r="DS401" s="50"/>
      <c r="DT401" s="50"/>
      <c r="DU401" s="50"/>
      <c r="DV401" s="50"/>
      <c r="DW401" s="50"/>
      <c r="DX401" s="50"/>
      <c r="DY401" s="50"/>
      <c r="DZ401" s="50"/>
      <c r="EA401" s="50"/>
      <c r="EB401" s="50"/>
      <c r="EC401" s="50"/>
      <c r="ED401" s="50"/>
      <c r="EE401" s="50"/>
      <c r="EF401" s="50"/>
      <c r="EG401" s="50"/>
      <c r="EH401" s="50"/>
      <c r="EI401" s="50"/>
      <c r="EJ401" s="50"/>
      <c r="EK401" s="50"/>
      <c r="EL401" s="50"/>
      <c r="EM401" s="50"/>
      <c r="EN401" s="50"/>
      <c r="EO401" s="50"/>
      <c r="EP401" s="50"/>
      <c r="EQ401" s="50"/>
      <c r="ER401" s="50"/>
      <c r="ES401" s="50"/>
      <c r="ET401" s="50"/>
      <c r="EU401" s="50"/>
      <c r="EV401" s="50"/>
      <c r="EW401" s="50"/>
      <c r="EX401" s="50"/>
      <c r="EY401" s="50"/>
      <c r="EZ401" s="50"/>
      <c r="FA401" s="50"/>
      <c r="FB401" s="50"/>
      <c r="FC401" s="50"/>
      <c r="FD401" s="50"/>
      <c r="FE401" s="50"/>
      <c r="FF401" s="50"/>
      <c r="FG401" s="50"/>
      <c r="FH401" s="50"/>
      <c r="FI401" s="50"/>
      <c r="FJ401" s="50"/>
      <c r="FK401" s="50"/>
      <c r="FL401" s="50"/>
      <c r="FM401" s="50"/>
      <c r="FN401" s="50"/>
      <c r="FO401" s="50"/>
      <c r="FP401" s="50"/>
      <c r="FQ401" s="50"/>
      <c r="FR401" s="50"/>
      <c r="FS401" s="50"/>
      <c r="FT401" s="50"/>
      <c r="FU401" s="50"/>
      <c r="FV401" s="50"/>
      <c r="FW401" s="50"/>
      <c r="FX401" s="50"/>
      <c r="FY401" s="50"/>
      <c r="FZ401" s="50"/>
      <c r="GA401" s="50"/>
      <c r="GB401" s="50"/>
      <c r="GC401" s="50"/>
      <c r="GD401" s="50"/>
      <c r="GE401" s="50"/>
      <c r="GF401" s="50"/>
    </row>
    <row r="402" spans="1:188">
      <c r="A402" s="147"/>
      <c r="B402" s="147"/>
      <c r="C402" s="51"/>
      <c r="D402" s="52"/>
      <c r="E402" s="47"/>
      <c r="F402" s="47"/>
      <c r="G402" s="47"/>
      <c r="H402" s="47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/>
      <c r="CD402" s="50"/>
      <c r="CE402" s="50"/>
      <c r="CF402" s="50"/>
      <c r="CG402" s="50"/>
      <c r="CH402" s="50"/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/>
      <c r="CZ402" s="50"/>
      <c r="DA402" s="50"/>
      <c r="DB402" s="50"/>
      <c r="DC402" s="50"/>
      <c r="DD402" s="50"/>
      <c r="DE402" s="50"/>
      <c r="DF402" s="50"/>
      <c r="DG402" s="50"/>
      <c r="DH402" s="50"/>
      <c r="DI402" s="50"/>
      <c r="DJ402" s="50"/>
      <c r="DK402" s="50"/>
      <c r="DL402" s="50"/>
      <c r="DM402" s="50"/>
      <c r="DN402" s="50"/>
      <c r="DO402" s="50"/>
      <c r="DP402" s="50"/>
      <c r="DQ402" s="50"/>
      <c r="DR402" s="50"/>
      <c r="DS402" s="50"/>
      <c r="DT402" s="50"/>
      <c r="DU402" s="50"/>
      <c r="DV402" s="50"/>
      <c r="DW402" s="50"/>
      <c r="DX402" s="50"/>
      <c r="DY402" s="50"/>
      <c r="DZ402" s="50"/>
      <c r="EA402" s="50"/>
      <c r="EB402" s="50"/>
      <c r="EC402" s="50"/>
      <c r="ED402" s="50"/>
      <c r="EE402" s="50"/>
      <c r="EF402" s="50"/>
      <c r="EG402" s="50"/>
      <c r="EH402" s="50"/>
      <c r="EI402" s="50"/>
      <c r="EJ402" s="50"/>
      <c r="EK402" s="50"/>
      <c r="EL402" s="50"/>
      <c r="EM402" s="50"/>
      <c r="EN402" s="50"/>
      <c r="EO402" s="50"/>
      <c r="EP402" s="50"/>
      <c r="EQ402" s="50"/>
      <c r="ER402" s="50"/>
      <c r="ES402" s="50"/>
      <c r="ET402" s="50"/>
      <c r="EU402" s="50"/>
      <c r="EV402" s="50"/>
      <c r="EW402" s="50"/>
      <c r="EX402" s="50"/>
      <c r="EY402" s="50"/>
      <c r="EZ402" s="50"/>
      <c r="FA402" s="50"/>
      <c r="FB402" s="50"/>
      <c r="FC402" s="50"/>
      <c r="FD402" s="50"/>
      <c r="FE402" s="50"/>
      <c r="FF402" s="50"/>
      <c r="FG402" s="50"/>
      <c r="FH402" s="50"/>
      <c r="FI402" s="50"/>
      <c r="FJ402" s="50"/>
      <c r="FK402" s="50"/>
      <c r="FL402" s="50"/>
      <c r="FM402" s="50"/>
      <c r="FN402" s="50"/>
      <c r="FO402" s="50"/>
      <c r="FP402" s="50"/>
      <c r="FQ402" s="50"/>
      <c r="FR402" s="50"/>
      <c r="FS402" s="50"/>
      <c r="FT402" s="50"/>
      <c r="FU402" s="50"/>
      <c r="FV402" s="50"/>
      <c r="FW402" s="50"/>
      <c r="FX402" s="50"/>
      <c r="FY402" s="50"/>
      <c r="FZ402" s="50"/>
      <c r="GA402" s="50"/>
      <c r="GB402" s="50"/>
      <c r="GC402" s="50"/>
      <c r="GD402" s="50"/>
      <c r="GE402" s="50"/>
      <c r="GF402" s="50"/>
    </row>
    <row r="403" spans="1:188">
      <c r="A403" s="147"/>
      <c r="B403" s="147"/>
      <c r="C403" s="51"/>
      <c r="D403" s="52"/>
      <c r="E403" s="47"/>
      <c r="F403" s="47"/>
      <c r="G403" s="47"/>
      <c r="H403" s="47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50"/>
      <c r="FF403" s="50"/>
      <c r="FG403" s="50"/>
      <c r="FH403" s="50"/>
      <c r="FI403" s="50"/>
      <c r="FJ403" s="50"/>
      <c r="FK403" s="50"/>
      <c r="FL403" s="50"/>
      <c r="FM403" s="50"/>
      <c r="FN403" s="50"/>
      <c r="FO403" s="50"/>
      <c r="FP403" s="50"/>
      <c r="FQ403" s="50"/>
      <c r="FR403" s="50"/>
      <c r="FS403" s="50"/>
      <c r="FT403" s="50"/>
      <c r="FU403" s="50"/>
      <c r="FV403" s="50"/>
      <c r="FW403" s="50"/>
      <c r="FX403" s="50"/>
      <c r="FY403" s="50"/>
      <c r="FZ403" s="50"/>
      <c r="GA403" s="50"/>
      <c r="GB403" s="50"/>
      <c r="GC403" s="50"/>
      <c r="GD403" s="50"/>
      <c r="GE403" s="50"/>
      <c r="GF403" s="50"/>
    </row>
    <row r="404" spans="1:188">
      <c r="A404" s="147"/>
      <c r="B404" s="147"/>
      <c r="C404" s="51"/>
      <c r="D404" s="52"/>
      <c r="E404" s="47"/>
      <c r="F404" s="47"/>
      <c r="G404" s="47"/>
      <c r="H404" s="47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/>
      <c r="CD404" s="50"/>
      <c r="CE404" s="50"/>
      <c r="CF404" s="50"/>
      <c r="CG404" s="50"/>
      <c r="CH404" s="50"/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/>
      <c r="CZ404" s="50"/>
      <c r="DA404" s="50"/>
      <c r="DB404" s="50"/>
      <c r="DC404" s="50"/>
      <c r="DD404" s="50"/>
      <c r="DE404" s="50"/>
      <c r="DF404" s="50"/>
      <c r="DG404" s="50"/>
      <c r="DH404" s="50"/>
      <c r="DI404" s="50"/>
      <c r="DJ404" s="50"/>
      <c r="DK404" s="50"/>
      <c r="DL404" s="50"/>
      <c r="DM404" s="50"/>
      <c r="DN404" s="50"/>
      <c r="DO404" s="50"/>
      <c r="DP404" s="50"/>
      <c r="DQ404" s="50"/>
      <c r="DR404" s="50"/>
      <c r="DS404" s="50"/>
      <c r="DT404" s="50"/>
      <c r="DU404" s="50"/>
      <c r="DV404" s="50"/>
      <c r="DW404" s="50"/>
      <c r="DX404" s="50"/>
      <c r="DY404" s="50"/>
      <c r="DZ404" s="50"/>
      <c r="EA404" s="50"/>
      <c r="EB404" s="50"/>
      <c r="EC404" s="50"/>
      <c r="ED404" s="50"/>
      <c r="EE404" s="50"/>
      <c r="EF404" s="50"/>
      <c r="EG404" s="50"/>
      <c r="EH404" s="50"/>
      <c r="EI404" s="50"/>
      <c r="EJ404" s="50"/>
      <c r="EK404" s="50"/>
      <c r="EL404" s="50"/>
      <c r="EM404" s="50"/>
      <c r="EN404" s="50"/>
      <c r="EO404" s="50"/>
      <c r="EP404" s="50"/>
      <c r="EQ404" s="50"/>
      <c r="ER404" s="50"/>
      <c r="ES404" s="50"/>
      <c r="ET404" s="50"/>
      <c r="EU404" s="50"/>
      <c r="EV404" s="50"/>
      <c r="EW404" s="50"/>
      <c r="EX404" s="50"/>
      <c r="EY404" s="50"/>
      <c r="EZ404" s="50"/>
      <c r="FA404" s="50"/>
      <c r="FB404" s="50"/>
      <c r="FC404" s="50"/>
      <c r="FD404" s="50"/>
      <c r="FE404" s="50"/>
      <c r="FF404" s="50"/>
      <c r="FG404" s="50"/>
      <c r="FH404" s="50"/>
      <c r="FI404" s="50"/>
      <c r="FJ404" s="50"/>
      <c r="FK404" s="50"/>
      <c r="FL404" s="50"/>
      <c r="FM404" s="50"/>
      <c r="FN404" s="50"/>
      <c r="FO404" s="50"/>
      <c r="FP404" s="50"/>
      <c r="FQ404" s="50"/>
      <c r="FR404" s="50"/>
      <c r="FS404" s="50"/>
      <c r="FT404" s="50"/>
      <c r="FU404" s="50"/>
      <c r="FV404" s="50"/>
      <c r="FW404" s="50"/>
      <c r="FX404" s="50"/>
      <c r="FY404" s="50"/>
      <c r="FZ404" s="50"/>
      <c r="GA404" s="50"/>
      <c r="GB404" s="50"/>
      <c r="GC404" s="50"/>
      <c r="GD404" s="50"/>
      <c r="GE404" s="50"/>
      <c r="GF404" s="50"/>
    </row>
    <row r="405" spans="1:188">
      <c r="A405" s="147"/>
      <c r="B405" s="147"/>
      <c r="C405" s="51"/>
      <c r="D405" s="52"/>
      <c r="E405" s="47"/>
      <c r="F405" s="47"/>
      <c r="G405" s="47"/>
      <c r="H405" s="47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/>
      <c r="CD405" s="50"/>
      <c r="CE405" s="50"/>
      <c r="CF405" s="50"/>
      <c r="CG405" s="50"/>
      <c r="CH405" s="50"/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/>
      <c r="CZ405" s="50"/>
      <c r="DA405" s="50"/>
      <c r="DB405" s="50"/>
      <c r="DC405" s="50"/>
      <c r="DD405" s="50"/>
      <c r="DE405" s="50"/>
      <c r="DF405" s="50"/>
      <c r="DG405" s="50"/>
      <c r="DH405" s="50"/>
      <c r="DI405" s="50"/>
      <c r="DJ405" s="50"/>
      <c r="DK405" s="50"/>
      <c r="DL405" s="50"/>
      <c r="DM405" s="50"/>
      <c r="DN405" s="50"/>
      <c r="DO405" s="50"/>
      <c r="DP405" s="50"/>
      <c r="DQ405" s="50"/>
      <c r="DR405" s="50"/>
      <c r="DS405" s="50"/>
      <c r="DT405" s="50"/>
      <c r="DU405" s="50"/>
      <c r="DV405" s="50"/>
      <c r="DW405" s="50"/>
      <c r="DX405" s="50"/>
      <c r="DY405" s="50"/>
      <c r="DZ405" s="50"/>
      <c r="EA405" s="50"/>
      <c r="EB405" s="50"/>
      <c r="EC405" s="50"/>
      <c r="ED405" s="50"/>
      <c r="EE405" s="50"/>
      <c r="EF405" s="50"/>
      <c r="EG405" s="50"/>
      <c r="EH405" s="50"/>
      <c r="EI405" s="50"/>
      <c r="EJ405" s="50"/>
      <c r="EK405" s="50"/>
      <c r="EL405" s="50"/>
      <c r="EM405" s="50"/>
      <c r="EN405" s="50"/>
      <c r="EO405" s="50"/>
      <c r="EP405" s="50"/>
      <c r="EQ405" s="50"/>
      <c r="ER405" s="50"/>
      <c r="ES405" s="50"/>
      <c r="ET405" s="50"/>
      <c r="EU405" s="50"/>
      <c r="EV405" s="50"/>
      <c r="EW405" s="50"/>
      <c r="EX405" s="50"/>
      <c r="EY405" s="50"/>
      <c r="EZ405" s="50"/>
      <c r="FA405" s="50"/>
      <c r="FB405" s="50"/>
      <c r="FC405" s="50"/>
      <c r="FD405" s="50"/>
      <c r="FE405" s="50"/>
      <c r="FF405" s="50"/>
      <c r="FG405" s="50"/>
      <c r="FH405" s="50"/>
      <c r="FI405" s="50"/>
      <c r="FJ405" s="50"/>
      <c r="FK405" s="50"/>
      <c r="FL405" s="50"/>
      <c r="FM405" s="50"/>
      <c r="FN405" s="50"/>
      <c r="FO405" s="50"/>
      <c r="FP405" s="50"/>
      <c r="FQ405" s="50"/>
      <c r="FR405" s="50"/>
      <c r="FS405" s="50"/>
      <c r="FT405" s="50"/>
      <c r="FU405" s="50"/>
      <c r="FV405" s="50"/>
      <c r="FW405" s="50"/>
      <c r="FX405" s="50"/>
      <c r="FY405" s="50"/>
      <c r="FZ405" s="50"/>
      <c r="GA405" s="50"/>
      <c r="GB405" s="50"/>
      <c r="GC405" s="50"/>
      <c r="GD405" s="50"/>
      <c r="GE405" s="50"/>
      <c r="GF405" s="50"/>
    </row>
    <row r="406" spans="1:188">
      <c r="A406" s="147"/>
      <c r="B406" s="147"/>
      <c r="C406" s="51"/>
      <c r="D406" s="52"/>
      <c r="E406" s="47"/>
      <c r="F406" s="47"/>
      <c r="G406" s="47"/>
      <c r="H406" s="47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/>
      <c r="CZ406" s="50"/>
      <c r="DA406" s="50"/>
      <c r="DB406" s="50"/>
      <c r="DC406" s="50"/>
      <c r="DD406" s="50"/>
      <c r="DE406" s="50"/>
      <c r="DF406" s="50"/>
      <c r="DG406" s="50"/>
      <c r="DH406" s="50"/>
      <c r="DI406" s="50"/>
      <c r="DJ406" s="50"/>
      <c r="DK406" s="50"/>
      <c r="DL406" s="50"/>
      <c r="DM406" s="50"/>
      <c r="DN406" s="50"/>
      <c r="DO406" s="50"/>
      <c r="DP406" s="50"/>
      <c r="DQ406" s="50"/>
      <c r="DR406" s="50"/>
      <c r="DS406" s="50"/>
      <c r="DT406" s="50"/>
      <c r="DU406" s="50"/>
      <c r="DV406" s="50"/>
      <c r="DW406" s="50"/>
      <c r="DX406" s="50"/>
      <c r="DY406" s="50"/>
      <c r="DZ406" s="50"/>
      <c r="EA406" s="50"/>
      <c r="EB406" s="50"/>
      <c r="EC406" s="50"/>
      <c r="ED406" s="50"/>
      <c r="EE406" s="50"/>
      <c r="EF406" s="50"/>
      <c r="EG406" s="50"/>
      <c r="EH406" s="50"/>
      <c r="EI406" s="50"/>
      <c r="EJ406" s="50"/>
      <c r="EK406" s="50"/>
      <c r="EL406" s="50"/>
      <c r="EM406" s="50"/>
      <c r="EN406" s="50"/>
      <c r="EO406" s="50"/>
      <c r="EP406" s="50"/>
      <c r="EQ406" s="50"/>
      <c r="ER406" s="50"/>
      <c r="ES406" s="50"/>
      <c r="ET406" s="50"/>
      <c r="EU406" s="50"/>
      <c r="EV406" s="50"/>
      <c r="EW406" s="50"/>
      <c r="EX406" s="50"/>
      <c r="EY406" s="50"/>
      <c r="EZ406" s="50"/>
      <c r="FA406" s="50"/>
      <c r="FB406" s="50"/>
      <c r="FC406" s="50"/>
      <c r="FD406" s="50"/>
      <c r="FE406" s="50"/>
      <c r="FF406" s="50"/>
      <c r="FG406" s="50"/>
      <c r="FH406" s="50"/>
      <c r="FI406" s="50"/>
      <c r="FJ406" s="50"/>
      <c r="FK406" s="50"/>
      <c r="FL406" s="50"/>
      <c r="FM406" s="50"/>
      <c r="FN406" s="50"/>
      <c r="FO406" s="50"/>
      <c r="FP406" s="50"/>
      <c r="FQ406" s="50"/>
      <c r="FR406" s="50"/>
      <c r="FS406" s="50"/>
      <c r="FT406" s="50"/>
      <c r="FU406" s="50"/>
      <c r="FV406" s="50"/>
      <c r="FW406" s="50"/>
      <c r="FX406" s="50"/>
      <c r="FY406" s="50"/>
      <c r="FZ406" s="50"/>
      <c r="GA406" s="50"/>
      <c r="GB406" s="50"/>
      <c r="GC406" s="50"/>
      <c r="GD406" s="50"/>
      <c r="GE406" s="50"/>
      <c r="GF406" s="50"/>
    </row>
    <row r="407" spans="1:188">
      <c r="A407" s="147"/>
      <c r="B407" s="147"/>
      <c r="C407" s="51"/>
      <c r="D407" s="52"/>
      <c r="E407" s="47"/>
      <c r="F407" s="47"/>
      <c r="G407" s="47"/>
      <c r="H407" s="47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/>
      <c r="CZ407" s="50"/>
      <c r="DA407" s="50"/>
      <c r="DB407" s="50"/>
      <c r="DC407" s="50"/>
      <c r="DD407" s="50"/>
      <c r="DE407" s="50"/>
      <c r="DF407" s="50"/>
      <c r="DG407" s="50"/>
      <c r="DH407" s="50"/>
      <c r="DI407" s="50"/>
      <c r="DJ407" s="50"/>
      <c r="DK407" s="50"/>
      <c r="DL407" s="50"/>
      <c r="DM407" s="50"/>
      <c r="DN407" s="50"/>
      <c r="DO407" s="50"/>
      <c r="DP407" s="50"/>
      <c r="DQ407" s="50"/>
      <c r="DR407" s="50"/>
      <c r="DS407" s="50"/>
      <c r="DT407" s="50"/>
      <c r="DU407" s="50"/>
      <c r="DV407" s="50"/>
      <c r="DW407" s="50"/>
      <c r="DX407" s="50"/>
      <c r="DY407" s="50"/>
      <c r="DZ407" s="50"/>
      <c r="EA407" s="50"/>
      <c r="EB407" s="50"/>
      <c r="EC407" s="50"/>
      <c r="ED407" s="50"/>
      <c r="EE407" s="50"/>
      <c r="EF407" s="50"/>
      <c r="EG407" s="50"/>
      <c r="EH407" s="50"/>
      <c r="EI407" s="50"/>
      <c r="EJ407" s="50"/>
      <c r="EK407" s="50"/>
      <c r="EL407" s="50"/>
      <c r="EM407" s="50"/>
      <c r="EN407" s="50"/>
      <c r="EO407" s="50"/>
      <c r="EP407" s="50"/>
      <c r="EQ407" s="50"/>
      <c r="ER407" s="50"/>
      <c r="ES407" s="50"/>
      <c r="ET407" s="50"/>
      <c r="EU407" s="50"/>
      <c r="EV407" s="50"/>
      <c r="EW407" s="50"/>
      <c r="EX407" s="50"/>
      <c r="EY407" s="50"/>
      <c r="EZ407" s="50"/>
      <c r="FA407" s="50"/>
      <c r="FB407" s="50"/>
      <c r="FC407" s="50"/>
      <c r="FD407" s="50"/>
      <c r="FE407" s="50"/>
      <c r="FF407" s="50"/>
      <c r="FG407" s="50"/>
      <c r="FH407" s="50"/>
      <c r="FI407" s="50"/>
      <c r="FJ407" s="50"/>
      <c r="FK407" s="50"/>
      <c r="FL407" s="50"/>
      <c r="FM407" s="50"/>
      <c r="FN407" s="50"/>
      <c r="FO407" s="50"/>
      <c r="FP407" s="50"/>
      <c r="FQ407" s="50"/>
      <c r="FR407" s="50"/>
      <c r="FS407" s="50"/>
      <c r="FT407" s="50"/>
      <c r="FU407" s="50"/>
      <c r="FV407" s="50"/>
      <c r="FW407" s="50"/>
      <c r="FX407" s="50"/>
      <c r="FY407" s="50"/>
      <c r="FZ407" s="50"/>
      <c r="GA407" s="50"/>
      <c r="GB407" s="50"/>
      <c r="GC407" s="50"/>
      <c r="GD407" s="50"/>
      <c r="GE407" s="50"/>
      <c r="GF407" s="50"/>
    </row>
    <row r="408" spans="1:188">
      <c r="A408" s="147"/>
      <c r="B408" s="147"/>
      <c r="C408" s="51"/>
      <c r="D408" s="52"/>
      <c r="E408" s="47"/>
      <c r="F408" s="47"/>
      <c r="G408" s="47"/>
      <c r="H408" s="47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/>
      <c r="CD408" s="50"/>
      <c r="CE408" s="50"/>
      <c r="CF408" s="50"/>
      <c r="CG408" s="50"/>
      <c r="CH408" s="50"/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/>
      <c r="CZ408" s="50"/>
      <c r="DA408" s="50"/>
      <c r="DB408" s="50"/>
      <c r="DC408" s="50"/>
      <c r="DD408" s="50"/>
      <c r="DE408" s="50"/>
      <c r="DF408" s="50"/>
      <c r="DG408" s="50"/>
      <c r="DH408" s="50"/>
      <c r="DI408" s="50"/>
      <c r="DJ408" s="50"/>
      <c r="DK408" s="50"/>
      <c r="DL408" s="50"/>
      <c r="DM408" s="50"/>
      <c r="DN408" s="50"/>
      <c r="DO408" s="50"/>
      <c r="DP408" s="50"/>
      <c r="DQ408" s="50"/>
      <c r="DR408" s="50"/>
      <c r="DS408" s="50"/>
      <c r="DT408" s="50"/>
      <c r="DU408" s="50"/>
      <c r="DV408" s="50"/>
      <c r="DW408" s="50"/>
      <c r="DX408" s="50"/>
      <c r="DY408" s="50"/>
      <c r="DZ408" s="50"/>
      <c r="EA408" s="50"/>
      <c r="EB408" s="50"/>
      <c r="EC408" s="50"/>
      <c r="ED408" s="50"/>
      <c r="EE408" s="50"/>
      <c r="EF408" s="50"/>
      <c r="EG408" s="50"/>
      <c r="EH408" s="50"/>
      <c r="EI408" s="50"/>
      <c r="EJ408" s="50"/>
      <c r="EK408" s="50"/>
      <c r="EL408" s="50"/>
      <c r="EM408" s="50"/>
      <c r="EN408" s="50"/>
      <c r="EO408" s="50"/>
      <c r="EP408" s="50"/>
      <c r="EQ408" s="50"/>
      <c r="ER408" s="50"/>
      <c r="ES408" s="50"/>
      <c r="ET408" s="50"/>
      <c r="EU408" s="50"/>
      <c r="EV408" s="50"/>
      <c r="EW408" s="50"/>
      <c r="EX408" s="50"/>
      <c r="EY408" s="50"/>
      <c r="EZ408" s="50"/>
      <c r="FA408" s="50"/>
      <c r="FB408" s="50"/>
      <c r="FC408" s="50"/>
      <c r="FD408" s="50"/>
      <c r="FE408" s="50"/>
      <c r="FF408" s="50"/>
      <c r="FG408" s="50"/>
      <c r="FH408" s="50"/>
      <c r="FI408" s="50"/>
      <c r="FJ408" s="50"/>
      <c r="FK408" s="50"/>
      <c r="FL408" s="50"/>
      <c r="FM408" s="50"/>
      <c r="FN408" s="50"/>
      <c r="FO408" s="50"/>
      <c r="FP408" s="50"/>
      <c r="FQ408" s="50"/>
      <c r="FR408" s="50"/>
      <c r="FS408" s="50"/>
      <c r="FT408" s="50"/>
      <c r="FU408" s="50"/>
      <c r="FV408" s="50"/>
      <c r="FW408" s="50"/>
      <c r="FX408" s="50"/>
      <c r="FY408" s="50"/>
      <c r="FZ408" s="50"/>
      <c r="GA408" s="50"/>
      <c r="GB408" s="50"/>
      <c r="GC408" s="50"/>
      <c r="GD408" s="50"/>
      <c r="GE408" s="50"/>
      <c r="GF408" s="50"/>
    </row>
    <row r="409" spans="1:188">
      <c r="A409" s="147"/>
      <c r="B409" s="147"/>
      <c r="C409" s="51"/>
      <c r="D409" s="52"/>
      <c r="E409" s="47"/>
      <c r="F409" s="47"/>
      <c r="G409" s="47"/>
      <c r="H409" s="47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  <c r="CE409" s="50"/>
      <c r="CF409" s="50"/>
      <c r="CG409" s="50"/>
      <c r="CH409" s="50"/>
      <c r="CI409" s="50"/>
      <c r="CJ409" s="50"/>
      <c r="CK409" s="50"/>
      <c r="CL409" s="50"/>
      <c r="CM409" s="50"/>
      <c r="CN409" s="50"/>
      <c r="CO409" s="50"/>
      <c r="CP409" s="50"/>
      <c r="CQ409" s="50"/>
      <c r="CR409" s="50"/>
      <c r="CS409" s="50"/>
      <c r="CT409" s="50"/>
      <c r="CU409" s="50"/>
      <c r="CV409" s="50"/>
      <c r="CW409" s="50"/>
      <c r="CX409" s="50"/>
      <c r="CY409" s="50"/>
      <c r="CZ409" s="50"/>
      <c r="DA409" s="50"/>
      <c r="DB409" s="50"/>
      <c r="DC409" s="50"/>
      <c r="DD409" s="50"/>
      <c r="DE409" s="50"/>
      <c r="DF409" s="50"/>
      <c r="DG409" s="50"/>
      <c r="DH409" s="50"/>
      <c r="DI409" s="50"/>
      <c r="DJ409" s="50"/>
      <c r="DK409" s="50"/>
      <c r="DL409" s="50"/>
      <c r="DM409" s="50"/>
      <c r="DN409" s="50"/>
      <c r="DO409" s="50"/>
      <c r="DP409" s="50"/>
      <c r="DQ409" s="50"/>
      <c r="DR409" s="50"/>
      <c r="DS409" s="50"/>
      <c r="DT409" s="50"/>
      <c r="DU409" s="50"/>
      <c r="DV409" s="50"/>
      <c r="DW409" s="50"/>
      <c r="DX409" s="50"/>
      <c r="DY409" s="50"/>
      <c r="DZ409" s="50"/>
      <c r="EA409" s="50"/>
      <c r="EB409" s="50"/>
      <c r="EC409" s="50"/>
      <c r="ED409" s="50"/>
      <c r="EE409" s="50"/>
      <c r="EF409" s="50"/>
      <c r="EG409" s="50"/>
      <c r="EH409" s="50"/>
      <c r="EI409" s="50"/>
      <c r="EJ409" s="50"/>
      <c r="EK409" s="50"/>
      <c r="EL409" s="50"/>
      <c r="EM409" s="50"/>
      <c r="EN409" s="50"/>
      <c r="EO409" s="50"/>
      <c r="EP409" s="50"/>
      <c r="EQ409" s="50"/>
      <c r="ER409" s="50"/>
      <c r="ES409" s="50"/>
      <c r="ET409" s="50"/>
      <c r="EU409" s="50"/>
      <c r="EV409" s="50"/>
      <c r="EW409" s="50"/>
      <c r="EX409" s="50"/>
      <c r="EY409" s="50"/>
      <c r="EZ409" s="50"/>
      <c r="FA409" s="50"/>
      <c r="FB409" s="50"/>
      <c r="FC409" s="50"/>
      <c r="FD409" s="50"/>
      <c r="FE409" s="50"/>
      <c r="FF409" s="50"/>
      <c r="FG409" s="50"/>
      <c r="FH409" s="50"/>
      <c r="FI409" s="50"/>
      <c r="FJ409" s="50"/>
      <c r="FK409" s="50"/>
      <c r="FL409" s="50"/>
      <c r="FM409" s="50"/>
      <c r="FN409" s="50"/>
      <c r="FO409" s="50"/>
      <c r="FP409" s="50"/>
      <c r="FQ409" s="50"/>
      <c r="FR409" s="50"/>
      <c r="FS409" s="50"/>
      <c r="FT409" s="50"/>
      <c r="FU409" s="50"/>
      <c r="FV409" s="50"/>
      <c r="FW409" s="50"/>
      <c r="FX409" s="50"/>
      <c r="FY409" s="50"/>
      <c r="FZ409" s="50"/>
      <c r="GA409" s="50"/>
      <c r="GB409" s="50"/>
      <c r="GC409" s="50"/>
      <c r="GD409" s="50"/>
      <c r="GE409" s="50"/>
      <c r="GF409" s="50"/>
    </row>
    <row r="410" spans="1:188">
      <c r="A410" s="147"/>
      <c r="B410" s="147"/>
      <c r="C410" s="51"/>
      <c r="D410" s="52"/>
      <c r="E410" s="47"/>
      <c r="F410" s="47"/>
      <c r="G410" s="47"/>
      <c r="H410" s="47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/>
      <c r="CZ410" s="50"/>
      <c r="DA410" s="50"/>
      <c r="DB410" s="50"/>
      <c r="DC410" s="50"/>
      <c r="DD410" s="50"/>
      <c r="DE410" s="50"/>
      <c r="DF410" s="50"/>
      <c r="DG410" s="50"/>
      <c r="DH410" s="50"/>
      <c r="DI410" s="50"/>
      <c r="DJ410" s="50"/>
      <c r="DK410" s="50"/>
      <c r="DL410" s="50"/>
      <c r="DM410" s="50"/>
      <c r="DN410" s="50"/>
      <c r="DO410" s="50"/>
      <c r="DP410" s="50"/>
      <c r="DQ410" s="50"/>
      <c r="DR410" s="50"/>
      <c r="DS410" s="50"/>
      <c r="DT410" s="50"/>
      <c r="DU410" s="50"/>
      <c r="DV410" s="50"/>
      <c r="DW410" s="50"/>
      <c r="DX410" s="50"/>
      <c r="DY410" s="50"/>
      <c r="DZ410" s="50"/>
      <c r="EA410" s="50"/>
      <c r="EB410" s="50"/>
      <c r="EC410" s="50"/>
      <c r="ED410" s="50"/>
      <c r="EE410" s="50"/>
      <c r="EF410" s="50"/>
      <c r="EG410" s="50"/>
      <c r="EH410" s="50"/>
      <c r="EI410" s="50"/>
      <c r="EJ410" s="50"/>
      <c r="EK410" s="50"/>
      <c r="EL410" s="50"/>
      <c r="EM410" s="50"/>
      <c r="EN410" s="50"/>
      <c r="EO410" s="50"/>
      <c r="EP410" s="50"/>
      <c r="EQ410" s="50"/>
      <c r="ER410" s="50"/>
      <c r="ES410" s="50"/>
      <c r="ET410" s="50"/>
      <c r="EU410" s="50"/>
      <c r="EV410" s="50"/>
      <c r="EW410" s="50"/>
      <c r="EX410" s="50"/>
      <c r="EY410" s="50"/>
      <c r="EZ410" s="50"/>
      <c r="FA410" s="50"/>
      <c r="FB410" s="50"/>
      <c r="FC410" s="50"/>
      <c r="FD410" s="50"/>
      <c r="FE410" s="50"/>
      <c r="FF410" s="50"/>
      <c r="FG410" s="50"/>
      <c r="FH410" s="50"/>
      <c r="FI410" s="50"/>
      <c r="FJ410" s="50"/>
      <c r="FK410" s="50"/>
      <c r="FL410" s="50"/>
      <c r="FM410" s="50"/>
      <c r="FN410" s="50"/>
      <c r="FO410" s="50"/>
      <c r="FP410" s="50"/>
      <c r="FQ410" s="50"/>
      <c r="FR410" s="50"/>
      <c r="FS410" s="50"/>
      <c r="FT410" s="50"/>
      <c r="FU410" s="50"/>
      <c r="FV410" s="50"/>
      <c r="FW410" s="50"/>
      <c r="FX410" s="50"/>
      <c r="FY410" s="50"/>
      <c r="FZ410" s="50"/>
      <c r="GA410" s="50"/>
      <c r="GB410" s="50"/>
      <c r="GC410" s="50"/>
      <c r="GD410" s="50"/>
      <c r="GE410" s="50"/>
      <c r="GF410" s="50"/>
    </row>
    <row r="411" spans="1:188">
      <c r="A411" s="147"/>
      <c r="B411" s="147"/>
      <c r="C411" s="51"/>
      <c r="D411" s="52"/>
      <c r="E411" s="47"/>
      <c r="F411" s="47"/>
      <c r="G411" s="47"/>
      <c r="H411" s="47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/>
      <c r="CD411" s="50"/>
      <c r="CE411" s="50"/>
      <c r="CF411" s="50"/>
      <c r="CG411" s="50"/>
      <c r="CH411" s="50"/>
      <c r="CI411" s="50"/>
      <c r="CJ411" s="50"/>
      <c r="CK411" s="50"/>
      <c r="CL411" s="50"/>
      <c r="CM411" s="50"/>
      <c r="CN411" s="50"/>
      <c r="CO411" s="50"/>
      <c r="CP411" s="50"/>
      <c r="CQ411" s="50"/>
      <c r="CR411" s="50"/>
      <c r="CS411" s="50"/>
      <c r="CT411" s="50"/>
      <c r="CU411" s="50"/>
      <c r="CV411" s="50"/>
      <c r="CW411" s="50"/>
      <c r="CX411" s="50"/>
      <c r="CY411" s="50"/>
      <c r="CZ411" s="50"/>
      <c r="DA411" s="50"/>
      <c r="DB411" s="50"/>
      <c r="DC411" s="50"/>
      <c r="DD411" s="50"/>
      <c r="DE411" s="50"/>
      <c r="DF411" s="50"/>
      <c r="DG411" s="50"/>
      <c r="DH411" s="50"/>
      <c r="DI411" s="50"/>
      <c r="DJ411" s="50"/>
      <c r="DK411" s="50"/>
      <c r="DL411" s="50"/>
      <c r="DM411" s="50"/>
      <c r="DN411" s="50"/>
      <c r="DO411" s="50"/>
      <c r="DP411" s="50"/>
      <c r="DQ411" s="50"/>
      <c r="DR411" s="50"/>
      <c r="DS411" s="50"/>
      <c r="DT411" s="50"/>
      <c r="DU411" s="50"/>
      <c r="DV411" s="50"/>
      <c r="DW411" s="50"/>
      <c r="DX411" s="50"/>
      <c r="DY411" s="50"/>
      <c r="DZ411" s="50"/>
      <c r="EA411" s="50"/>
      <c r="EB411" s="50"/>
      <c r="EC411" s="50"/>
      <c r="ED411" s="50"/>
      <c r="EE411" s="50"/>
      <c r="EF411" s="50"/>
      <c r="EG411" s="50"/>
      <c r="EH411" s="50"/>
      <c r="EI411" s="50"/>
      <c r="EJ411" s="50"/>
      <c r="EK411" s="50"/>
      <c r="EL411" s="50"/>
      <c r="EM411" s="50"/>
      <c r="EN411" s="50"/>
      <c r="EO411" s="50"/>
      <c r="EP411" s="50"/>
      <c r="EQ411" s="50"/>
      <c r="ER411" s="50"/>
      <c r="ES411" s="50"/>
      <c r="ET411" s="50"/>
      <c r="EU411" s="50"/>
      <c r="EV411" s="50"/>
      <c r="EW411" s="50"/>
      <c r="EX411" s="50"/>
      <c r="EY411" s="50"/>
      <c r="EZ411" s="50"/>
      <c r="FA411" s="50"/>
      <c r="FB411" s="50"/>
      <c r="FC411" s="50"/>
      <c r="FD411" s="50"/>
      <c r="FE411" s="50"/>
      <c r="FF411" s="50"/>
      <c r="FG411" s="50"/>
      <c r="FH411" s="50"/>
      <c r="FI411" s="50"/>
      <c r="FJ411" s="50"/>
      <c r="FK411" s="50"/>
      <c r="FL411" s="50"/>
      <c r="FM411" s="50"/>
      <c r="FN411" s="50"/>
      <c r="FO411" s="50"/>
      <c r="FP411" s="50"/>
      <c r="FQ411" s="50"/>
      <c r="FR411" s="50"/>
      <c r="FS411" s="50"/>
      <c r="FT411" s="50"/>
      <c r="FU411" s="50"/>
      <c r="FV411" s="50"/>
      <c r="FW411" s="50"/>
      <c r="FX411" s="50"/>
      <c r="FY411" s="50"/>
      <c r="FZ411" s="50"/>
      <c r="GA411" s="50"/>
      <c r="GB411" s="50"/>
      <c r="GC411" s="50"/>
      <c r="GD411" s="50"/>
      <c r="GE411" s="50"/>
      <c r="GF411" s="50"/>
    </row>
    <row r="412" spans="1:188">
      <c r="A412" s="147"/>
      <c r="B412" s="147"/>
      <c r="C412" s="51"/>
      <c r="D412" s="52"/>
      <c r="E412" s="47"/>
      <c r="F412" s="47"/>
      <c r="G412" s="47"/>
      <c r="H412" s="47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/>
      <c r="CD412" s="50"/>
      <c r="CE412" s="50"/>
      <c r="CF412" s="50"/>
      <c r="CG412" s="50"/>
      <c r="CH412" s="50"/>
      <c r="CI412" s="50"/>
      <c r="CJ412" s="50"/>
      <c r="CK412" s="50"/>
      <c r="CL412" s="50"/>
      <c r="CM412" s="50"/>
      <c r="CN412" s="50"/>
      <c r="CO412" s="50"/>
      <c r="CP412" s="50"/>
      <c r="CQ412" s="50"/>
      <c r="CR412" s="50"/>
      <c r="CS412" s="50"/>
      <c r="CT412" s="50"/>
      <c r="CU412" s="50"/>
      <c r="CV412" s="50"/>
      <c r="CW412" s="50"/>
      <c r="CX412" s="50"/>
      <c r="CY412" s="50"/>
      <c r="CZ412" s="50"/>
      <c r="DA412" s="50"/>
      <c r="DB412" s="50"/>
      <c r="DC412" s="50"/>
      <c r="DD412" s="50"/>
      <c r="DE412" s="50"/>
      <c r="DF412" s="50"/>
      <c r="DG412" s="50"/>
      <c r="DH412" s="50"/>
      <c r="DI412" s="50"/>
      <c r="DJ412" s="50"/>
      <c r="DK412" s="50"/>
      <c r="DL412" s="50"/>
      <c r="DM412" s="50"/>
      <c r="DN412" s="50"/>
      <c r="DO412" s="50"/>
      <c r="DP412" s="50"/>
      <c r="DQ412" s="50"/>
      <c r="DR412" s="50"/>
      <c r="DS412" s="50"/>
      <c r="DT412" s="50"/>
      <c r="DU412" s="50"/>
      <c r="DV412" s="50"/>
      <c r="DW412" s="50"/>
      <c r="DX412" s="50"/>
      <c r="DY412" s="50"/>
      <c r="DZ412" s="50"/>
      <c r="EA412" s="50"/>
      <c r="EB412" s="50"/>
      <c r="EC412" s="50"/>
      <c r="ED412" s="50"/>
      <c r="EE412" s="50"/>
      <c r="EF412" s="50"/>
      <c r="EG412" s="50"/>
      <c r="EH412" s="50"/>
      <c r="EI412" s="50"/>
      <c r="EJ412" s="50"/>
      <c r="EK412" s="50"/>
      <c r="EL412" s="50"/>
      <c r="EM412" s="50"/>
      <c r="EN412" s="50"/>
      <c r="EO412" s="50"/>
      <c r="EP412" s="50"/>
      <c r="EQ412" s="50"/>
      <c r="ER412" s="50"/>
      <c r="ES412" s="50"/>
      <c r="ET412" s="50"/>
      <c r="EU412" s="50"/>
      <c r="EV412" s="50"/>
      <c r="EW412" s="50"/>
      <c r="EX412" s="50"/>
      <c r="EY412" s="50"/>
      <c r="EZ412" s="50"/>
      <c r="FA412" s="50"/>
      <c r="FB412" s="50"/>
      <c r="FC412" s="50"/>
      <c r="FD412" s="50"/>
      <c r="FE412" s="50"/>
      <c r="FF412" s="50"/>
      <c r="FG412" s="50"/>
      <c r="FH412" s="50"/>
      <c r="FI412" s="50"/>
      <c r="FJ412" s="50"/>
      <c r="FK412" s="50"/>
      <c r="FL412" s="50"/>
      <c r="FM412" s="50"/>
      <c r="FN412" s="50"/>
      <c r="FO412" s="50"/>
      <c r="FP412" s="50"/>
      <c r="FQ412" s="50"/>
      <c r="FR412" s="50"/>
      <c r="FS412" s="50"/>
      <c r="FT412" s="50"/>
      <c r="FU412" s="50"/>
      <c r="FV412" s="50"/>
      <c r="FW412" s="50"/>
      <c r="FX412" s="50"/>
      <c r="FY412" s="50"/>
      <c r="FZ412" s="50"/>
      <c r="GA412" s="50"/>
      <c r="GB412" s="50"/>
      <c r="GC412" s="50"/>
      <c r="GD412" s="50"/>
      <c r="GE412" s="50"/>
      <c r="GF412" s="50"/>
    </row>
    <row r="413" spans="1:188">
      <c r="A413" s="147"/>
      <c r="B413" s="147"/>
      <c r="C413" s="51"/>
      <c r="D413" s="52"/>
      <c r="E413" s="47"/>
      <c r="F413" s="47"/>
      <c r="G413" s="47"/>
      <c r="H413" s="47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/>
      <c r="CD413" s="50"/>
      <c r="CE413" s="50"/>
      <c r="CF413" s="50"/>
      <c r="CG413" s="50"/>
      <c r="CH413" s="50"/>
      <c r="CI413" s="50"/>
      <c r="CJ413" s="50"/>
      <c r="CK413" s="50"/>
      <c r="CL413" s="50"/>
      <c r="CM413" s="50"/>
      <c r="CN413" s="50"/>
      <c r="CO413" s="50"/>
      <c r="CP413" s="50"/>
      <c r="CQ413" s="50"/>
      <c r="CR413" s="50"/>
      <c r="CS413" s="50"/>
      <c r="CT413" s="50"/>
      <c r="CU413" s="50"/>
      <c r="CV413" s="50"/>
      <c r="CW413" s="50"/>
      <c r="CX413" s="50"/>
      <c r="CY413" s="50"/>
      <c r="CZ413" s="50"/>
      <c r="DA413" s="50"/>
      <c r="DB413" s="50"/>
      <c r="DC413" s="50"/>
      <c r="DD413" s="50"/>
      <c r="DE413" s="50"/>
      <c r="DF413" s="50"/>
      <c r="DG413" s="50"/>
      <c r="DH413" s="50"/>
      <c r="DI413" s="50"/>
      <c r="DJ413" s="50"/>
      <c r="DK413" s="50"/>
      <c r="DL413" s="50"/>
      <c r="DM413" s="50"/>
      <c r="DN413" s="50"/>
      <c r="DO413" s="50"/>
      <c r="DP413" s="50"/>
      <c r="DQ413" s="50"/>
      <c r="DR413" s="50"/>
      <c r="DS413" s="50"/>
      <c r="DT413" s="50"/>
      <c r="DU413" s="50"/>
      <c r="DV413" s="50"/>
      <c r="DW413" s="50"/>
      <c r="DX413" s="50"/>
      <c r="DY413" s="50"/>
      <c r="DZ413" s="50"/>
      <c r="EA413" s="50"/>
      <c r="EB413" s="50"/>
      <c r="EC413" s="50"/>
      <c r="ED413" s="50"/>
      <c r="EE413" s="50"/>
      <c r="EF413" s="50"/>
      <c r="EG413" s="50"/>
      <c r="EH413" s="50"/>
      <c r="EI413" s="50"/>
      <c r="EJ413" s="50"/>
      <c r="EK413" s="50"/>
      <c r="EL413" s="50"/>
      <c r="EM413" s="50"/>
      <c r="EN413" s="50"/>
      <c r="EO413" s="50"/>
      <c r="EP413" s="50"/>
      <c r="EQ413" s="50"/>
      <c r="ER413" s="50"/>
      <c r="ES413" s="50"/>
      <c r="ET413" s="50"/>
      <c r="EU413" s="50"/>
      <c r="EV413" s="50"/>
      <c r="EW413" s="50"/>
      <c r="EX413" s="50"/>
      <c r="EY413" s="50"/>
      <c r="EZ413" s="50"/>
      <c r="FA413" s="50"/>
      <c r="FB413" s="50"/>
      <c r="FC413" s="50"/>
      <c r="FD413" s="50"/>
      <c r="FE413" s="50"/>
      <c r="FF413" s="50"/>
      <c r="FG413" s="50"/>
      <c r="FH413" s="50"/>
      <c r="FI413" s="50"/>
      <c r="FJ413" s="50"/>
      <c r="FK413" s="50"/>
      <c r="FL413" s="50"/>
      <c r="FM413" s="50"/>
      <c r="FN413" s="50"/>
      <c r="FO413" s="50"/>
      <c r="FP413" s="50"/>
      <c r="FQ413" s="50"/>
      <c r="FR413" s="50"/>
      <c r="FS413" s="50"/>
      <c r="FT413" s="50"/>
      <c r="FU413" s="50"/>
      <c r="FV413" s="50"/>
      <c r="FW413" s="50"/>
      <c r="FX413" s="50"/>
      <c r="FY413" s="50"/>
      <c r="FZ413" s="50"/>
      <c r="GA413" s="50"/>
      <c r="GB413" s="50"/>
      <c r="GC413" s="50"/>
      <c r="GD413" s="50"/>
      <c r="GE413" s="50"/>
      <c r="GF413" s="50"/>
    </row>
    <row r="414" spans="1:188">
      <c r="A414" s="147"/>
      <c r="B414" s="147"/>
      <c r="C414" s="51"/>
      <c r="D414" s="52"/>
      <c r="E414" s="47"/>
      <c r="F414" s="47"/>
      <c r="G414" s="47"/>
      <c r="H414" s="47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/>
      <c r="CD414" s="50"/>
      <c r="CE414" s="50"/>
      <c r="CF414" s="50"/>
      <c r="CG414" s="50"/>
      <c r="CH414" s="50"/>
      <c r="CI414" s="50"/>
      <c r="CJ414" s="50"/>
      <c r="CK414" s="50"/>
      <c r="CL414" s="50"/>
      <c r="CM414" s="50"/>
      <c r="CN414" s="50"/>
      <c r="CO414" s="50"/>
      <c r="CP414" s="50"/>
      <c r="CQ414" s="50"/>
      <c r="CR414" s="50"/>
      <c r="CS414" s="50"/>
      <c r="CT414" s="50"/>
      <c r="CU414" s="50"/>
      <c r="CV414" s="50"/>
      <c r="CW414" s="50"/>
      <c r="CX414" s="50"/>
      <c r="CY414" s="50"/>
      <c r="CZ414" s="50"/>
      <c r="DA414" s="50"/>
      <c r="DB414" s="50"/>
      <c r="DC414" s="50"/>
      <c r="DD414" s="50"/>
      <c r="DE414" s="50"/>
      <c r="DF414" s="50"/>
      <c r="DG414" s="50"/>
      <c r="DH414" s="50"/>
      <c r="DI414" s="50"/>
      <c r="DJ414" s="50"/>
      <c r="DK414" s="50"/>
      <c r="DL414" s="50"/>
      <c r="DM414" s="50"/>
      <c r="DN414" s="50"/>
      <c r="DO414" s="50"/>
      <c r="DP414" s="50"/>
      <c r="DQ414" s="50"/>
      <c r="DR414" s="50"/>
      <c r="DS414" s="50"/>
      <c r="DT414" s="50"/>
      <c r="DU414" s="50"/>
      <c r="DV414" s="50"/>
      <c r="DW414" s="50"/>
      <c r="DX414" s="50"/>
      <c r="DY414" s="50"/>
      <c r="DZ414" s="50"/>
      <c r="EA414" s="50"/>
      <c r="EB414" s="50"/>
      <c r="EC414" s="50"/>
      <c r="ED414" s="50"/>
      <c r="EE414" s="50"/>
      <c r="EF414" s="50"/>
      <c r="EG414" s="50"/>
      <c r="EH414" s="50"/>
      <c r="EI414" s="50"/>
      <c r="EJ414" s="50"/>
      <c r="EK414" s="50"/>
      <c r="EL414" s="50"/>
      <c r="EM414" s="50"/>
      <c r="EN414" s="50"/>
      <c r="EO414" s="50"/>
      <c r="EP414" s="50"/>
      <c r="EQ414" s="50"/>
      <c r="ER414" s="50"/>
      <c r="ES414" s="50"/>
      <c r="ET414" s="50"/>
      <c r="EU414" s="50"/>
      <c r="EV414" s="50"/>
      <c r="EW414" s="50"/>
      <c r="EX414" s="50"/>
      <c r="EY414" s="50"/>
      <c r="EZ414" s="50"/>
      <c r="FA414" s="50"/>
      <c r="FB414" s="50"/>
      <c r="FC414" s="50"/>
      <c r="FD414" s="50"/>
      <c r="FE414" s="50"/>
      <c r="FF414" s="50"/>
      <c r="FG414" s="50"/>
      <c r="FH414" s="50"/>
      <c r="FI414" s="50"/>
      <c r="FJ414" s="50"/>
      <c r="FK414" s="50"/>
      <c r="FL414" s="50"/>
      <c r="FM414" s="50"/>
      <c r="FN414" s="50"/>
      <c r="FO414" s="50"/>
      <c r="FP414" s="50"/>
      <c r="FQ414" s="50"/>
      <c r="FR414" s="50"/>
      <c r="FS414" s="50"/>
      <c r="FT414" s="50"/>
      <c r="FU414" s="50"/>
      <c r="FV414" s="50"/>
      <c r="FW414" s="50"/>
      <c r="FX414" s="50"/>
      <c r="FY414" s="50"/>
      <c r="FZ414" s="50"/>
      <c r="GA414" s="50"/>
      <c r="GB414" s="50"/>
      <c r="GC414" s="50"/>
      <c r="GD414" s="50"/>
      <c r="GE414" s="50"/>
      <c r="GF414" s="50"/>
    </row>
    <row r="415" spans="1:188">
      <c r="A415" s="147"/>
      <c r="B415" s="147"/>
      <c r="C415" s="51"/>
      <c r="D415" s="52"/>
      <c r="E415" s="47"/>
      <c r="F415" s="47"/>
      <c r="G415" s="47"/>
      <c r="H415" s="47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/>
      <c r="CD415" s="50"/>
      <c r="CE415" s="50"/>
      <c r="CF415" s="50"/>
      <c r="CG415" s="50"/>
      <c r="CH415" s="50"/>
      <c r="CI415" s="50"/>
      <c r="CJ415" s="50"/>
      <c r="CK415" s="50"/>
      <c r="CL415" s="50"/>
      <c r="CM415" s="50"/>
      <c r="CN415" s="50"/>
      <c r="CO415" s="50"/>
      <c r="CP415" s="50"/>
      <c r="CQ415" s="50"/>
      <c r="CR415" s="50"/>
      <c r="CS415" s="50"/>
      <c r="CT415" s="50"/>
      <c r="CU415" s="50"/>
      <c r="CV415" s="50"/>
      <c r="CW415" s="50"/>
      <c r="CX415" s="50"/>
      <c r="CY415" s="50"/>
      <c r="CZ415" s="50"/>
      <c r="DA415" s="50"/>
      <c r="DB415" s="50"/>
      <c r="DC415" s="50"/>
      <c r="DD415" s="50"/>
      <c r="DE415" s="50"/>
      <c r="DF415" s="50"/>
      <c r="DG415" s="50"/>
      <c r="DH415" s="50"/>
      <c r="DI415" s="50"/>
      <c r="DJ415" s="50"/>
      <c r="DK415" s="50"/>
      <c r="DL415" s="50"/>
      <c r="DM415" s="50"/>
      <c r="DN415" s="50"/>
      <c r="DO415" s="50"/>
      <c r="DP415" s="50"/>
      <c r="DQ415" s="50"/>
      <c r="DR415" s="50"/>
      <c r="DS415" s="50"/>
      <c r="DT415" s="50"/>
      <c r="DU415" s="50"/>
      <c r="DV415" s="50"/>
      <c r="DW415" s="50"/>
      <c r="DX415" s="50"/>
      <c r="DY415" s="50"/>
      <c r="DZ415" s="50"/>
      <c r="EA415" s="50"/>
      <c r="EB415" s="50"/>
      <c r="EC415" s="50"/>
      <c r="ED415" s="50"/>
      <c r="EE415" s="50"/>
      <c r="EF415" s="50"/>
      <c r="EG415" s="50"/>
      <c r="EH415" s="50"/>
      <c r="EI415" s="50"/>
      <c r="EJ415" s="50"/>
      <c r="EK415" s="50"/>
      <c r="EL415" s="50"/>
      <c r="EM415" s="50"/>
      <c r="EN415" s="50"/>
      <c r="EO415" s="50"/>
      <c r="EP415" s="50"/>
      <c r="EQ415" s="50"/>
      <c r="ER415" s="50"/>
      <c r="ES415" s="50"/>
      <c r="ET415" s="50"/>
      <c r="EU415" s="50"/>
      <c r="EV415" s="50"/>
      <c r="EW415" s="50"/>
      <c r="EX415" s="50"/>
      <c r="EY415" s="50"/>
      <c r="EZ415" s="50"/>
      <c r="FA415" s="50"/>
      <c r="FB415" s="50"/>
      <c r="FC415" s="50"/>
      <c r="FD415" s="50"/>
      <c r="FE415" s="50"/>
      <c r="FF415" s="50"/>
      <c r="FG415" s="50"/>
      <c r="FH415" s="50"/>
      <c r="FI415" s="50"/>
      <c r="FJ415" s="50"/>
      <c r="FK415" s="50"/>
      <c r="FL415" s="50"/>
      <c r="FM415" s="50"/>
      <c r="FN415" s="50"/>
      <c r="FO415" s="50"/>
      <c r="FP415" s="50"/>
      <c r="FQ415" s="50"/>
      <c r="FR415" s="50"/>
      <c r="FS415" s="50"/>
      <c r="FT415" s="50"/>
      <c r="FU415" s="50"/>
      <c r="FV415" s="50"/>
      <c r="FW415" s="50"/>
      <c r="FX415" s="50"/>
      <c r="FY415" s="50"/>
      <c r="FZ415" s="50"/>
      <c r="GA415" s="50"/>
      <c r="GB415" s="50"/>
      <c r="GC415" s="50"/>
      <c r="GD415" s="50"/>
      <c r="GE415" s="50"/>
      <c r="GF415" s="50"/>
    </row>
    <row r="416" spans="1:188">
      <c r="A416" s="147"/>
      <c r="B416" s="147"/>
      <c r="C416" s="51"/>
      <c r="D416" s="52"/>
      <c r="E416" s="47"/>
      <c r="F416" s="47"/>
      <c r="G416" s="47"/>
      <c r="H416" s="47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/>
      <c r="CD416" s="50"/>
      <c r="CE416" s="50"/>
      <c r="CF416" s="50"/>
      <c r="CG416" s="50"/>
      <c r="CH416" s="50"/>
      <c r="CI416" s="50"/>
      <c r="CJ416" s="50"/>
      <c r="CK416" s="50"/>
      <c r="CL416" s="50"/>
      <c r="CM416" s="50"/>
      <c r="CN416" s="50"/>
      <c r="CO416" s="50"/>
      <c r="CP416" s="50"/>
      <c r="CQ416" s="50"/>
      <c r="CR416" s="50"/>
      <c r="CS416" s="50"/>
      <c r="CT416" s="50"/>
      <c r="CU416" s="50"/>
      <c r="CV416" s="50"/>
      <c r="CW416" s="50"/>
      <c r="CX416" s="50"/>
      <c r="CY416" s="50"/>
      <c r="CZ416" s="50"/>
      <c r="DA416" s="50"/>
      <c r="DB416" s="50"/>
      <c r="DC416" s="50"/>
      <c r="DD416" s="50"/>
      <c r="DE416" s="50"/>
      <c r="DF416" s="50"/>
      <c r="DG416" s="50"/>
      <c r="DH416" s="50"/>
      <c r="DI416" s="50"/>
      <c r="DJ416" s="50"/>
      <c r="DK416" s="50"/>
      <c r="DL416" s="50"/>
      <c r="DM416" s="50"/>
      <c r="DN416" s="50"/>
      <c r="DO416" s="50"/>
      <c r="DP416" s="50"/>
      <c r="DQ416" s="50"/>
      <c r="DR416" s="50"/>
      <c r="DS416" s="50"/>
      <c r="DT416" s="50"/>
      <c r="DU416" s="50"/>
      <c r="DV416" s="50"/>
      <c r="DW416" s="50"/>
      <c r="DX416" s="50"/>
      <c r="DY416" s="50"/>
      <c r="DZ416" s="50"/>
      <c r="EA416" s="50"/>
      <c r="EB416" s="50"/>
      <c r="EC416" s="50"/>
      <c r="ED416" s="50"/>
      <c r="EE416" s="50"/>
      <c r="EF416" s="50"/>
      <c r="EG416" s="50"/>
      <c r="EH416" s="50"/>
      <c r="EI416" s="50"/>
      <c r="EJ416" s="50"/>
      <c r="EK416" s="50"/>
      <c r="EL416" s="50"/>
      <c r="EM416" s="50"/>
      <c r="EN416" s="50"/>
      <c r="EO416" s="50"/>
      <c r="EP416" s="50"/>
      <c r="EQ416" s="50"/>
      <c r="ER416" s="50"/>
      <c r="ES416" s="50"/>
      <c r="ET416" s="50"/>
      <c r="EU416" s="50"/>
      <c r="EV416" s="50"/>
      <c r="EW416" s="50"/>
      <c r="EX416" s="50"/>
      <c r="EY416" s="50"/>
      <c r="EZ416" s="50"/>
      <c r="FA416" s="50"/>
      <c r="FB416" s="50"/>
      <c r="FC416" s="50"/>
      <c r="FD416" s="50"/>
      <c r="FE416" s="50"/>
      <c r="FF416" s="50"/>
      <c r="FG416" s="50"/>
      <c r="FH416" s="50"/>
      <c r="FI416" s="50"/>
      <c r="FJ416" s="50"/>
      <c r="FK416" s="50"/>
      <c r="FL416" s="50"/>
      <c r="FM416" s="50"/>
      <c r="FN416" s="50"/>
      <c r="FO416" s="50"/>
      <c r="FP416" s="50"/>
      <c r="FQ416" s="50"/>
      <c r="FR416" s="50"/>
      <c r="FS416" s="50"/>
      <c r="FT416" s="50"/>
      <c r="FU416" s="50"/>
      <c r="FV416" s="50"/>
      <c r="FW416" s="50"/>
      <c r="FX416" s="50"/>
      <c r="FY416" s="50"/>
      <c r="FZ416" s="50"/>
      <c r="GA416" s="50"/>
      <c r="GB416" s="50"/>
      <c r="GC416" s="50"/>
      <c r="GD416" s="50"/>
      <c r="GE416" s="50"/>
      <c r="GF416" s="50"/>
    </row>
    <row r="417" spans="1:188">
      <c r="A417" s="147"/>
      <c r="B417" s="147"/>
      <c r="C417" s="51"/>
      <c r="D417" s="52"/>
      <c r="E417" s="47"/>
      <c r="F417" s="47"/>
      <c r="G417" s="47"/>
      <c r="H417" s="47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/>
      <c r="BZ417" s="50"/>
      <c r="CA417" s="50"/>
      <c r="CB417" s="50"/>
      <c r="CC417" s="50"/>
      <c r="CD417" s="50"/>
      <c r="CE417" s="50"/>
      <c r="CF417" s="50"/>
      <c r="CG417" s="50"/>
      <c r="CH417" s="50"/>
      <c r="CI417" s="50"/>
      <c r="CJ417" s="50"/>
      <c r="CK417" s="50"/>
      <c r="CL417" s="50"/>
      <c r="CM417" s="50"/>
      <c r="CN417" s="50"/>
      <c r="CO417" s="50"/>
      <c r="CP417" s="50"/>
      <c r="CQ417" s="50"/>
      <c r="CR417" s="50"/>
      <c r="CS417" s="50"/>
      <c r="CT417" s="50"/>
      <c r="CU417" s="50"/>
      <c r="CV417" s="50"/>
      <c r="CW417" s="50"/>
      <c r="CX417" s="50"/>
      <c r="CY417" s="50"/>
      <c r="CZ417" s="50"/>
      <c r="DA417" s="50"/>
      <c r="DB417" s="50"/>
      <c r="DC417" s="50"/>
      <c r="DD417" s="50"/>
      <c r="DE417" s="50"/>
      <c r="DF417" s="50"/>
      <c r="DG417" s="50"/>
      <c r="DH417" s="50"/>
      <c r="DI417" s="50"/>
      <c r="DJ417" s="50"/>
      <c r="DK417" s="50"/>
      <c r="DL417" s="50"/>
      <c r="DM417" s="50"/>
      <c r="DN417" s="50"/>
      <c r="DO417" s="50"/>
      <c r="DP417" s="50"/>
      <c r="DQ417" s="50"/>
      <c r="DR417" s="50"/>
      <c r="DS417" s="50"/>
      <c r="DT417" s="50"/>
      <c r="DU417" s="50"/>
      <c r="DV417" s="50"/>
      <c r="DW417" s="50"/>
      <c r="DX417" s="50"/>
      <c r="DY417" s="50"/>
      <c r="DZ417" s="50"/>
      <c r="EA417" s="50"/>
      <c r="EB417" s="50"/>
      <c r="EC417" s="50"/>
      <c r="ED417" s="50"/>
      <c r="EE417" s="50"/>
      <c r="EF417" s="50"/>
      <c r="EG417" s="50"/>
      <c r="EH417" s="50"/>
      <c r="EI417" s="50"/>
      <c r="EJ417" s="50"/>
      <c r="EK417" s="50"/>
      <c r="EL417" s="50"/>
      <c r="EM417" s="50"/>
      <c r="EN417" s="50"/>
      <c r="EO417" s="50"/>
      <c r="EP417" s="50"/>
      <c r="EQ417" s="50"/>
      <c r="ER417" s="50"/>
      <c r="ES417" s="50"/>
      <c r="ET417" s="50"/>
      <c r="EU417" s="50"/>
      <c r="EV417" s="50"/>
      <c r="EW417" s="50"/>
      <c r="EX417" s="50"/>
      <c r="EY417" s="50"/>
      <c r="EZ417" s="50"/>
      <c r="FA417" s="50"/>
      <c r="FB417" s="50"/>
      <c r="FC417" s="50"/>
      <c r="FD417" s="50"/>
      <c r="FE417" s="50"/>
      <c r="FF417" s="50"/>
      <c r="FG417" s="50"/>
      <c r="FH417" s="50"/>
      <c r="FI417" s="50"/>
      <c r="FJ417" s="50"/>
      <c r="FK417" s="50"/>
      <c r="FL417" s="50"/>
      <c r="FM417" s="50"/>
      <c r="FN417" s="50"/>
      <c r="FO417" s="50"/>
      <c r="FP417" s="50"/>
      <c r="FQ417" s="50"/>
      <c r="FR417" s="50"/>
      <c r="FS417" s="50"/>
      <c r="FT417" s="50"/>
      <c r="FU417" s="50"/>
      <c r="FV417" s="50"/>
      <c r="FW417" s="50"/>
      <c r="FX417" s="50"/>
      <c r="FY417" s="50"/>
      <c r="FZ417" s="50"/>
      <c r="GA417" s="50"/>
      <c r="GB417" s="50"/>
      <c r="GC417" s="50"/>
      <c r="GD417" s="50"/>
      <c r="GE417" s="50"/>
      <c r="GF417" s="50"/>
    </row>
    <row r="418" spans="1:188">
      <c r="A418" s="147"/>
      <c r="B418" s="147"/>
      <c r="C418" s="51"/>
      <c r="D418" s="52"/>
      <c r="E418" s="47"/>
      <c r="F418" s="47"/>
      <c r="G418" s="47"/>
      <c r="H418" s="47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/>
      <c r="CD418" s="50"/>
      <c r="CE418" s="50"/>
      <c r="CF418" s="50"/>
      <c r="CG418" s="50"/>
      <c r="CH418" s="50"/>
      <c r="CI418" s="50"/>
      <c r="CJ418" s="50"/>
      <c r="CK418" s="50"/>
      <c r="CL418" s="50"/>
      <c r="CM418" s="50"/>
      <c r="CN418" s="50"/>
      <c r="CO418" s="50"/>
      <c r="CP418" s="50"/>
      <c r="CQ418" s="50"/>
      <c r="CR418" s="50"/>
      <c r="CS418" s="50"/>
      <c r="CT418" s="50"/>
      <c r="CU418" s="50"/>
      <c r="CV418" s="50"/>
      <c r="CW418" s="50"/>
      <c r="CX418" s="50"/>
      <c r="CY418" s="50"/>
      <c r="CZ418" s="50"/>
      <c r="DA418" s="50"/>
      <c r="DB418" s="50"/>
      <c r="DC418" s="50"/>
      <c r="DD418" s="50"/>
      <c r="DE418" s="50"/>
      <c r="DF418" s="50"/>
      <c r="DG418" s="50"/>
      <c r="DH418" s="50"/>
      <c r="DI418" s="50"/>
      <c r="DJ418" s="50"/>
      <c r="DK418" s="50"/>
      <c r="DL418" s="50"/>
      <c r="DM418" s="50"/>
      <c r="DN418" s="50"/>
      <c r="DO418" s="50"/>
      <c r="DP418" s="50"/>
      <c r="DQ418" s="50"/>
      <c r="DR418" s="50"/>
      <c r="DS418" s="50"/>
      <c r="DT418" s="50"/>
      <c r="DU418" s="50"/>
      <c r="DV418" s="50"/>
      <c r="DW418" s="50"/>
      <c r="DX418" s="50"/>
      <c r="DY418" s="50"/>
      <c r="DZ418" s="50"/>
      <c r="EA418" s="50"/>
      <c r="EB418" s="50"/>
      <c r="EC418" s="50"/>
      <c r="ED418" s="50"/>
      <c r="EE418" s="50"/>
      <c r="EF418" s="50"/>
      <c r="EG418" s="50"/>
      <c r="EH418" s="50"/>
      <c r="EI418" s="50"/>
      <c r="EJ418" s="50"/>
      <c r="EK418" s="50"/>
      <c r="EL418" s="50"/>
      <c r="EM418" s="50"/>
      <c r="EN418" s="50"/>
      <c r="EO418" s="50"/>
      <c r="EP418" s="50"/>
      <c r="EQ418" s="50"/>
      <c r="ER418" s="50"/>
      <c r="ES418" s="50"/>
      <c r="ET418" s="50"/>
      <c r="EU418" s="50"/>
      <c r="EV418" s="50"/>
      <c r="EW418" s="50"/>
      <c r="EX418" s="50"/>
      <c r="EY418" s="50"/>
      <c r="EZ418" s="50"/>
      <c r="FA418" s="50"/>
      <c r="FB418" s="50"/>
      <c r="FC418" s="50"/>
      <c r="FD418" s="50"/>
      <c r="FE418" s="50"/>
      <c r="FF418" s="50"/>
      <c r="FG418" s="50"/>
      <c r="FH418" s="50"/>
      <c r="FI418" s="50"/>
      <c r="FJ418" s="50"/>
      <c r="FK418" s="50"/>
      <c r="FL418" s="50"/>
      <c r="FM418" s="50"/>
      <c r="FN418" s="50"/>
      <c r="FO418" s="50"/>
      <c r="FP418" s="50"/>
      <c r="FQ418" s="50"/>
      <c r="FR418" s="50"/>
      <c r="FS418" s="50"/>
      <c r="FT418" s="50"/>
      <c r="FU418" s="50"/>
      <c r="FV418" s="50"/>
      <c r="FW418" s="50"/>
      <c r="FX418" s="50"/>
      <c r="FY418" s="50"/>
      <c r="FZ418" s="50"/>
      <c r="GA418" s="50"/>
      <c r="GB418" s="50"/>
      <c r="GC418" s="50"/>
      <c r="GD418" s="50"/>
      <c r="GE418" s="50"/>
      <c r="GF418" s="50"/>
    </row>
    <row r="419" spans="1:188">
      <c r="A419" s="147"/>
      <c r="B419" s="147"/>
      <c r="C419" s="51"/>
      <c r="D419" s="52"/>
      <c r="E419" s="47"/>
      <c r="F419" s="47"/>
      <c r="G419" s="47"/>
      <c r="H419" s="47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0"/>
      <c r="BR419" s="50"/>
      <c r="BS419" s="50"/>
      <c r="BT419" s="50"/>
      <c r="BU419" s="50"/>
      <c r="BV419" s="50"/>
      <c r="BW419" s="50"/>
      <c r="BX419" s="50"/>
      <c r="BY419" s="50"/>
      <c r="BZ419" s="50"/>
      <c r="CA419" s="50"/>
      <c r="CB419" s="50"/>
      <c r="CC419" s="50"/>
      <c r="CD419" s="50"/>
      <c r="CE419" s="50"/>
      <c r="CF419" s="50"/>
      <c r="CG419" s="50"/>
      <c r="CH419" s="50"/>
      <c r="CI419" s="50"/>
      <c r="CJ419" s="50"/>
      <c r="CK419" s="50"/>
      <c r="CL419" s="50"/>
      <c r="CM419" s="50"/>
      <c r="CN419" s="50"/>
      <c r="CO419" s="50"/>
      <c r="CP419" s="50"/>
      <c r="CQ419" s="50"/>
      <c r="CR419" s="50"/>
      <c r="CS419" s="50"/>
      <c r="CT419" s="50"/>
      <c r="CU419" s="50"/>
      <c r="CV419" s="50"/>
      <c r="CW419" s="50"/>
      <c r="CX419" s="50"/>
      <c r="CY419" s="50"/>
      <c r="CZ419" s="50"/>
      <c r="DA419" s="50"/>
      <c r="DB419" s="50"/>
      <c r="DC419" s="50"/>
      <c r="DD419" s="50"/>
      <c r="DE419" s="50"/>
      <c r="DF419" s="50"/>
      <c r="DG419" s="50"/>
      <c r="DH419" s="50"/>
      <c r="DI419" s="50"/>
      <c r="DJ419" s="50"/>
      <c r="DK419" s="50"/>
      <c r="DL419" s="50"/>
      <c r="DM419" s="50"/>
      <c r="DN419" s="50"/>
      <c r="DO419" s="50"/>
      <c r="DP419" s="50"/>
      <c r="DQ419" s="50"/>
      <c r="DR419" s="50"/>
      <c r="DS419" s="50"/>
      <c r="DT419" s="50"/>
      <c r="DU419" s="50"/>
      <c r="DV419" s="50"/>
      <c r="DW419" s="50"/>
      <c r="DX419" s="50"/>
      <c r="DY419" s="50"/>
      <c r="DZ419" s="50"/>
      <c r="EA419" s="50"/>
      <c r="EB419" s="50"/>
      <c r="EC419" s="50"/>
      <c r="ED419" s="50"/>
      <c r="EE419" s="50"/>
      <c r="EF419" s="50"/>
      <c r="EG419" s="50"/>
      <c r="EH419" s="50"/>
      <c r="EI419" s="50"/>
      <c r="EJ419" s="50"/>
      <c r="EK419" s="50"/>
      <c r="EL419" s="50"/>
      <c r="EM419" s="50"/>
      <c r="EN419" s="50"/>
      <c r="EO419" s="50"/>
      <c r="EP419" s="50"/>
      <c r="EQ419" s="50"/>
      <c r="ER419" s="50"/>
      <c r="ES419" s="50"/>
      <c r="ET419" s="50"/>
      <c r="EU419" s="50"/>
      <c r="EV419" s="50"/>
      <c r="EW419" s="50"/>
      <c r="EX419" s="50"/>
      <c r="EY419" s="50"/>
      <c r="EZ419" s="50"/>
      <c r="FA419" s="50"/>
      <c r="FB419" s="50"/>
      <c r="FC419" s="50"/>
      <c r="FD419" s="50"/>
      <c r="FE419" s="50"/>
      <c r="FF419" s="50"/>
      <c r="FG419" s="50"/>
      <c r="FH419" s="50"/>
      <c r="FI419" s="50"/>
      <c r="FJ419" s="50"/>
      <c r="FK419" s="50"/>
      <c r="FL419" s="50"/>
      <c r="FM419" s="50"/>
      <c r="FN419" s="50"/>
      <c r="FO419" s="50"/>
      <c r="FP419" s="50"/>
      <c r="FQ419" s="50"/>
      <c r="FR419" s="50"/>
      <c r="FS419" s="50"/>
      <c r="FT419" s="50"/>
      <c r="FU419" s="50"/>
      <c r="FV419" s="50"/>
      <c r="FW419" s="50"/>
      <c r="FX419" s="50"/>
      <c r="FY419" s="50"/>
      <c r="FZ419" s="50"/>
      <c r="GA419" s="50"/>
      <c r="GB419" s="50"/>
      <c r="GC419" s="50"/>
      <c r="GD419" s="50"/>
      <c r="GE419" s="50"/>
      <c r="GF419" s="50"/>
    </row>
    <row r="420" spans="1:188">
      <c r="A420" s="147"/>
      <c r="B420" s="147"/>
      <c r="C420" s="51"/>
      <c r="D420" s="52"/>
      <c r="E420" s="47"/>
      <c r="F420" s="47"/>
      <c r="G420" s="47"/>
      <c r="H420" s="47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/>
      <c r="BW420" s="50"/>
      <c r="BX420" s="50"/>
      <c r="BY420" s="50"/>
      <c r="BZ420" s="50"/>
      <c r="CA420" s="50"/>
      <c r="CB420" s="50"/>
      <c r="CC420" s="50"/>
      <c r="CD420" s="50"/>
      <c r="CE420" s="50"/>
      <c r="CF420" s="50"/>
      <c r="CG420" s="50"/>
      <c r="CH420" s="50"/>
      <c r="CI420" s="50"/>
      <c r="CJ420" s="50"/>
      <c r="CK420" s="50"/>
      <c r="CL420" s="50"/>
      <c r="CM420" s="50"/>
      <c r="CN420" s="50"/>
      <c r="CO420" s="50"/>
      <c r="CP420" s="50"/>
      <c r="CQ420" s="50"/>
      <c r="CR420" s="50"/>
      <c r="CS420" s="50"/>
      <c r="CT420" s="50"/>
      <c r="CU420" s="50"/>
      <c r="CV420" s="50"/>
      <c r="CW420" s="50"/>
      <c r="CX420" s="50"/>
      <c r="CY420" s="50"/>
      <c r="CZ420" s="50"/>
      <c r="DA420" s="50"/>
      <c r="DB420" s="50"/>
      <c r="DC420" s="50"/>
      <c r="DD420" s="50"/>
      <c r="DE420" s="50"/>
      <c r="DF420" s="50"/>
      <c r="DG420" s="50"/>
      <c r="DH420" s="50"/>
      <c r="DI420" s="50"/>
      <c r="DJ420" s="50"/>
      <c r="DK420" s="50"/>
      <c r="DL420" s="50"/>
      <c r="DM420" s="50"/>
      <c r="DN420" s="50"/>
      <c r="DO420" s="50"/>
      <c r="DP420" s="50"/>
      <c r="DQ420" s="50"/>
      <c r="DR420" s="50"/>
      <c r="DS420" s="50"/>
      <c r="DT420" s="50"/>
      <c r="DU420" s="50"/>
      <c r="DV420" s="50"/>
      <c r="DW420" s="50"/>
      <c r="DX420" s="50"/>
      <c r="DY420" s="50"/>
      <c r="DZ420" s="50"/>
      <c r="EA420" s="50"/>
      <c r="EB420" s="50"/>
      <c r="EC420" s="50"/>
      <c r="ED420" s="50"/>
      <c r="EE420" s="50"/>
      <c r="EF420" s="50"/>
      <c r="EG420" s="50"/>
      <c r="EH420" s="50"/>
      <c r="EI420" s="50"/>
      <c r="EJ420" s="50"/>
      <c r="EK420" s="50"/>
      <c r="EL420" s="50"/>
      <c r="EM420" s="50"/>
      <c r="EN420" s="50"/>
      <c r="EO420" s="50"/>
      <c r="EP420" s="50"/>
      <c r="EQ420" s="50"/>
      <c r="ER420" s="50"/>
      <c r="ES420" s="50"/>
      <c r="ET420" s="50"/>
      <c r="EU420" s="50"/>
      <c r="EV420" s="50"/>
      <c r="EW420" s="50"/>
      <c r="EX420" s="50"/>
      <c r="EY420" s="50"/>
      <c r="EZ420" s="50"/>
      <c r="FA420" s="50"/>
      <c r="FB420" s="50"/>
      <c r="FC420" s="50"/>
      <c r="FD420" s="50"/>
      <c r="FE420" s="50"/>
      <c r="FF420" s="50"/>
      <c r="FG420" s="50"/>
      <c r="FH420" s="50"/>
      <c r="FI420" s="50"/>
      <c r="FJ420" s="50"/>
      <c r="FK420" s="50"/>
      <c r="FL420" s="50"/>
      <c r="FM420" s="50"/>
      <c r="FN420" s="50"/>
      <c r="FO420" s="50"/>
      <c r="FP420" s="50"/>
      <c r="FQ420" s="50"/>
      <c r="FR420" s="50"/>
      <c r="FS420" s="50"/>
      <c r="FT420" s="50"/>
      <c r="FU420" s="50"/>
      <c r="FV420" s="50"/>
      <c r="FW420" s="50"/>
      <c r="FX420" s="50"/>
      <c r="FY420" s="50"/>
      <c r="FZ420" s="50"/>
      <c r="GA420" s="50"/>
      <c r="GB420" s="50"/>
      <c r="GC420" s="50"/>
      <c r="GD420" s="50"/>
      <c r="GE420" s="50"/>
      <c r="GF420" s="50"/>
    </row>
    <row r="421" spans="1:188">
      <c r="A421" s="147"/>
      <c r="B421" s="147"/>
      <c r="C421" s="51"/>
      <c r="D421" s="52"/>
      <c r="E421" s="47"/>
      <c r="F421" s="47"/>
      <c r="G421" s="47"/>
      <c r="H421" s="47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/>
      <c r="CD421" s="50"/>
      <c r="CE421" s="50"/>
      <c r="CF421" s="50"/>
      <c r="CG421" s="50"/>
      <c r="CH421" s="50"/>
      <c r="CI421" s="50"/>
      <c r="CJ421" s="50"/>
      <c r="CK421" s="50"/>
      <c r="CL421" s="50"/>
      <c r="CM421" s="50"/>
      <c r="CN421" s="50"/>
      <c r="CO421" s="50"/>
      <c r="CP421" s="50"/>
      <c r="CQ421" s="50"/>
      <c r="CR421" s="50"/>
      <c r="CS421" s="50"/>
      <c r="CT421" s="50"/>
      <c r="CU421" s="50"/>
      <c r="CV421" s="50"/>
      <c r="CW421" s="50"/>
      <c r="CX421" s="50"/>
      <c r="CY421" s="50"/>
      <c r="CZ421" s="50"/>
      <c r="DA421" s="50"/>
      <c r="DB421" s="50"/>
      <c r="DC421" s="50"/>
      <c r="DD421" s="50"/>
      <c r="DE421" s="50"/>
      <c r="DF421" s="50"/>
      <c r="DG421" s="50"/>
      <c r="DH421" s="50"/>
      <c r="DI421" s="50"/>
      <c r="DJ421" s="50"/>
      <c r="DK421" s="50"/>
      <c r="DL421" s="50"/>
      <c r="DM421" s="50"/>
      <c r="DN421" s="50"/>
      <c r="DO421" s="50"/>
      <c r="DP421" s="50"/>
      <c r="DQ421" s="50"/>
      <c r="DR421" s="50"/>
      <c r="DS421" s="50"/>
      <c r="DT421" s="50"/>
      <c r="DU421" s="50"/>
      <c r="DV421" s="50"/>
      <c r="DW421" s="50"/>
      <c r="DX421" s="50"/>
      <c r="DY421" s="50"/>
      <c r="DZ421" s="50"/>
      <c r="EA421" s="50"/>
      <c r="EB421" s="50"/>
      <c r="EC421" s="50"/>
      <c r="ED421" s="50"/>
      <c r="EE421" s="50"/>
      <c r="EF421" s="50"/>
      <c r="EG421" s="50"/>
      <c r="EH421" s="50"/>
      <c r="EI421" s="50"/>
      <c r="EJ421" s="50"/>
      <c r="EK421" s="50"/>
      <c r="EL421" s="50"/>
      <c r="EM421" s="50"/>
      <c r="EN421" s="50"/>
      <c r="EO421" s="50"/>
      <c r="EP421" s="50"/>
      <c r="EQ421" s="50"/>
      <c r="ER421" s="50"/>
      <c r="ES421" s="50"/>
      <c r="ET421" s="50"/>
      <c r="EU421" s="50"/>
      <c r="EV421" s="50"/>
      <c r="EW421" s="50"/>
      <c r="EX421" s="50"/>
      <c r="EY421" s="50"/>
      <c r="EZ421" s="50"/>
      <c r="FA421" s="50"/>
      <c r="FB421" s="50"/>
      <c r="FC421" s="50"/>
      <c r="FD421" s="50"/>
      <c r="FE421" s="50"/>
      <c r="FF421" s="50"/>
      <c r="FG421" s="50"/>
      <c r="FH421" s="50"/>
      <c r="FI421" s="50"/>
      <c r="FJ421" s="50"/>
      <c r="FK421" s="50"/>
      <c r="FL421" s="50"/>
      <c r="FM421" s="50"/>
      <c r="FN421" s="50"/>
      <c r="FO421" s="50"/>
      <c r="FP421" s="50"/>
      <c r="FQ421" s="50"/>
      <c r="FR421" s="50"/>
      <c r="FS421" s="50"/>
      <c r="FT421" s="50"/>
      <c r="FU421" s="50"/>
      <c r="FV421" s="50"/>
      <c r="FW421" s="50"/>
      <c r="FX421" s="50"/>
      <c r="FY421" s="50"/>
      <c r="FZ421" s="50"/>
      <c r="GA421" s="50"/>
      <c r="GB421" s="50"/>
      <c r="GC421" s="50"/>
      <c r="GD421" s="50"/>
      <c r="GE421" s="50"/>
      <c r="GF421" s="50"/>
    </row>
    <row r="422" spans="1:188">
      <c r="A422" s="147"/>
      <c r="B422" s="147"/>
      <c r="C422" s="51"/>
      <c r="D422" s="52"/>
      <c r="E422" s="47"/>
      <c r="F422" s="47"/>
      <c r="G422" s="47"/>
      <c r="H422" s="47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/>
      <c r="BW422" s="50"/>
      <c r="BX422" s="50"/>
      <c r="BY422" s="50"/>
      <c r="BZ422" s="50"/>
      <c r="CA422" s="50"/>
      <c r="CB422" s="50"/>
      <c r="CC422" s="50"/>
      <c r="CD422" s="50"/>
      <c r="CE422" s="50"/>
      <c r="CF422" s="50"/>
      <c r="CG422" s="50"/>
      <c r="CH422" s="50"/>
      <c r="CI422" s="50"/>
      <c r="CJ422" s="50"/>
      <c r="CK422" s="50"/>
      <c r="CL422" s="50"/>
      <c r="CM422" s="50"/>
      <c r="CN422" s="50"/>
      <c r="CO422" s="50"/>
      <c r="CP422" s="50"/>
      <c r="CQ422" s="50"/>
      <c r="CR422" s="50"/>
      <c r="CS422" s="50"/>
      <c r="CT422" s="50"/>
      <c r="CU422" s="50"/>
      <c r="CV422" s="50"/>
      <c r="CW422" s="50"/>
      <c r="CX422" s="50"/>
      <c r="CY422" s="50"/>
      <c r="CZ422" s="50"/>
      <c r="DA422" s="50"/>
      <c r="DB422" s="50"/>
      <c r="DC422" s="50"/>
      <c r="DD422" s="50"/>
      <c r="DE422" s="50"/>
      <c r="DF422" s="50"/>
      <c r="DG422" s="50"/>
      <c r="DH422" s="50"/>
      <c r="DI422" s="50"/>
      <c r="DJ422" s="50"/>
      <c r="DK422" s="50"/>
      <c r="DL422" s="50"/>
      <c r="DM422" s="50"/>
      <c r="DN422" s="50"/>
      <c r="DO422" s="50"/>
      <c r="DP422" s="50"/>
      <c r="DQ422" s="50"/>
      <c r="DR422" s="50"/>
      <c r="DS422" s="50"/>
      <c r="DT422" s="50"/>
      <c r="DU422" s="50"/>
      <c r="DV422" s="50"/>
      <c r="DW422" s="50"/>
      <c r="DX422" s="50"/>
      <c r="DY422" s="50"/>
      <c r="DZ422" s="50"/>
      <c r="EA422" s="50"/>
      <c r="EB422" s="50"/>
      <c r="EC422" s="50"/>
      <c r="ED422" s="50"/>
      <c r="EE422" s="50"/>
      <c r="EF422" s="50"/>
      <c r="EG422" s="50"/>
      <c r="EH422" s="50"/>
      <c r="EI422" s="50"/>
      <c r="EJ422" s="50"/>
      <c r="EK422" s="50"/>
      <c r="EL422" s="50"/>
      <c r="EM422" s="50"/>
      <c r="EN422" s="50"/>
      <c r="EO422" s="50"/>
      <c r="EP422" s="50"/>
      <c r="EQ422" s="50"/>
      <c r="ER422" s="50"/>
      <c r="ES422" s="50"/>
      <c r="ET422" s="50"/>
      <c r="EU422" s="50"/>
      <c r="EV422" s="50"/>
      <c r="EW422" s="50"/>
      <c r="EX422" s="50"/>
      <c r="EY422" s="50"/>
      <c r="EZ422" s="50"/>
      <c r="FA422" s="50"/>
      <c r="FB422" s="50"/>
      <c r="FC422" s="50"/>
      <c r="FD422" s="50"/>
      <c r="FE422" s="50"/>
      <c r="FF422" s="50"/>
      <c r="FG422" s="50"/>
      <c r="FH422" s="50"/>
      <c r="FI422" s="50"/>
      <c r="FJ422" s="50"/>
      <c r="FK422" s="50"/>
      <c r="FL422" s="50"/>
      <c r="FM422" s="50"/>
      <c r="FN422" s="50"/>
      <c r="FO422" s="50"/>
      <c r="FP422" s="50"/>
      <c r="FQ422" s="50"/>
      <c r="FR422" s="50"/>
      <c r="FS422" s="50"/>
      <c r="FT422" s="50"/>
      <c r="FU422" s="50"/>
      <c r="FV422" s="50"/>
      <c r="FW422" s="50"/>
      <c r="FX422" s="50"/>
      <c r="FY422" s="50"/>
      <c r="FZ422" s="50"/>
      <c r="GA422" s="50"/>
      <c r="GB422" s="50"/>
      <c r="GC422" s="50"/>
      <c r="GD422" s="50"/>
      <c r="GE422" s="50"/>
      <c r="GF422" s="50"/>
    </row>
    <row r="423" spans="1:188">
      <c r="A423" s="147"/>
      <c r="B423" s="147"/>
      <c r="C423" s="51"/>
      <c r="D423" s="52"/>
      <c r="E423" s="47"/>
      <c r="F423" s="47"/>
      <c r="G423" s="47"/>
      <c r="H423" s="47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/>
      <c r="CD423" s="50"/>
      <c r="CE423" s="50"/>
      <c r="CF423" s="50"/>
      <c r="CG423" s="50"/>
      <c r="CH423" s="50"/>
      <c r="CI423" s="50"/>
      <c r="CJ423" s="50"/>
      <c r="CK423" s="50"/>
      <c r="CL423" s="50"/>
      <c r="CM423" s="50"/>
      <c r="CN423" s="50"/>
      <c r="CO423" s="50"/>
      <c r="CP423" s="50"/>
      <c r="CQ423" s="50"/>
      <c r="CR423" s="50"/>
      <c r="CS423" s="50"/>
      <c r="CT423" s="50"/>
      <c r="CU423" s="50"/>
      <c r="CV423" s="50"/>
      <c r="CW423" s="50"/>
      <c r="CX423" s="50"/>
      <c r="CY423" s="50"/>
      <c r="CZ423" s="50"/>
      <c r="DA423" s="50"/>
      <c r="DB423" s="50"/>
      <c r="DC423" s="50"/>
      <c r="DD423" s="50"/>
      <c r="DE423" s="50"/>
      <c r="DF423" s="50"/>
      <c r="DG423" s="50"/>
      <c r="DH423" s="50"/>
      <c r="DI423" s="50"/>
      <c r="DJ423" s="50"/>
      <c r="DK423" s="50"/>
      <c r="DL423" s="50"/>
      <c r="DM423" s="50"/>
      <c r="DN423" s="50"/>
      <c r="DO423" s="50"/>
      <c r="DP423" s="50"/>
      <c r="DQ423" s="50"/>
      <c r="DR423" s="50"/>
      <c r="DS423" s="50"/>
      <c r="DT423" s="50"/>
      <c r="DU423" s="50"/>
      <c r="DV423" s="50"/>
      <c r="DW423" s="50"/>
      <c r="DX423" s="50"/>
      <c r="DY423" s="50"/>
      <c r="DZ423" s="50"/>
      <c r="EA423" s="50"/>
      <c r="EB423" s="50"/>
      <c r="EC423" s="50"/>
      <c r="ED423" s="50"/>
      <c r="EE423" s="50"/>
      <c r="EF423" s="50"/>
      <c r="EG423" s="50"/>
      <c r="EH423" s="50"/>
      <c r="EI423" s="50"/>
      <c r="EJ423" s="50"/>
      <c r="EK423" s="50"/>
      <c r="EL423" s="50"/>
      <c r="EM423" s="50"/>
      <c r="EN423" s="50"/>
      <c r="EO423" s="50"/>
      <c r="EP423" s="50"/>
      <c r="EQ423" s="50"/>
      <c r="ER423" s="50"/>
      <c r="ES423" s="50"/>
      <c r="ET423" s="50"/>
      <c r="EU423" s="50"/>
      <c r="EV423" s="50"/>
      <c r="EW423" s="50"/>
      <c r="EX423" s="50"/>
      <c r="EY423" s="50"/>
      <c r="EZ423" s="50"/>
      <c r="FA423" s="50"/>
      <c r="FB423" s="50"/>
      <c r="FC423" s="50"/>
      <c r="FD423" s="50"/>
      <c r="FE423" s="50"/>
      <c r="FF423" s="50"/>
      <c r="FG423" s="50"/>
      <c r="FH423" s="50"/>
      <c r="FI423" s="50"/>
      <c r="FJ423" s="50"/>
      <c r="FK423" s="50"/>
      <c r="FL423" s="50"/>
      <c r="FM423" s="50"/>
      <c r="FN423" s="50"/>
      <c r="FO423" s="50"/>
      <c r="FP423" s="50"/>
      <c r="FQ423" s="50"/>
      <c r="FR423" s="50"/>
      <c r="FS423" s="50"/>
      <c r="FT423" s="50"/>
      <c r="FU423" s="50"/>
      <c r="FV423" s="50"/>
      <c r="FW423" s="50"/>
      <c r="FX423" s="50"/>
      <c r="FY423" s="50"/>
      <c r="FZ423" s="50"/>
      <c r="GA423" s="50"/>
      <c r="GB423" s="50"/>
      <c r="GC423" s="50"/>
      <c r="GD423" s="50"/>
      <c r="GE423" s="50"/>
      <c r="GF423" s="50"/>
    </row>
    <row r="424" spans="1:188">
      <c r="A424" s="147"/>
      <c r="B424" s="147"/>
      <c r="C424" s="51"/>
      <c r="D424" s="52"/>
      <c r="E424" s="47"/>
      <c r="F424" s="47"/>
      <c r="G424" s="47"/>
      <c r="H424" s="47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/>
      <c r="BW424" s="50"/>
      <c r="BX424" s="50"/>
      <c r="BY424" s="50"/>
      <c r="BZ424" s="50"/>
      <c r="CA424" s="50"/>
      <c r="CB424" s="50"/>
      <c r="CC424" s="50"/>
      <c r="CD424" s="50"/>
      <c r="CE424" s="50"/>
      <c r="CF424" s="50"/>
      <c r="CG424" s="50"/>
      <c r="CH424" s="50"/>
      <c r="CI424" s="50"/>
      <c r="CJ424" s="50"/>
      <c r="CK424" s="50"/>
      <c r="CL424" s="50"/>
      <c r="CM424" s="50"/>
      <c r="CN424" s="50"/>
      <c r="CO424" s="50"/>
      <c r="CP424" s="50"/>
      <c r="CQ424" s="50"/>
      <c r="CR424" s="50"/>
      <c r="CS424" s="50"/>
      <c r="CT424" s="50"/>
      <c r="CU424" s="50"/>
      <c r="CV424" s="50"/>
      <c r="CW424" s="50"/>
      <c r="CX424" s="50"/>
      <c r="CY424" s="50"/>
      <c r="CZ424" s="50"/>
      <c r="DA424" s="50"/>
      <c r="DB424" s="50"/>
      <c r="DC424" s="50"/>
      <c r="DD424" s="50"/>
      <c r="DE424" s="50"/>
      <c r="DF424" s="50"/>
      <c r="DG424" s="50"/>
      <c r="DH424" s="50"/>
      <c r="DI424" s="50"/>
      <c r="DJ424" s="50"/>
      <c r="DK424" s="50"/>
      <c r="DL424" s="50"/>
      <c r="DM424" s="50"/>
      <c r="DN424" s="50"/>
      <c r="DO424" s="50"/>
      <c r="DP424" s="50"/>
      <c r="DQ424" s="50"/>
      <c r="DR424" s="50"/>
      <c r="DS424" s="50"/>
      <c r="DT424" s="50"/>
      <c r="DU424" s="50"/>
      <c r="DV424" s="50"/>
      <c r="DW424" s="50"/>
      <c r="DX424" s="50"/>
      <c r="DY424" s="50"/>
      <c r="DZ424" s="50"/>
      <c r="EA424" s="50"/>
      <c r="EB424" s="50"/>
      <c r="EC424" s="50"/>
      <c r="ED424" s="50"/>
      <c r="EE424" s="50"/>
      <c r="EF424" s="50"/>
      <c r="EG424" s="50"/>
      <c r="EH424" s="50"/>
      <c r="EI424" s="50"/>
      <c r="EJ424" s="50"/>
      <c r="EK424" s="50"/>
      <c r="EL424" s="50"/>
      <c r="EM424" s="50"/>
      <c r="EN424" s="50"/>
      <c r="EO424" s="50"/>
      <c r="EP424" s="50"/>
      <c r="EQ424" s="50"/>
      <c r="ER424" s="50"/>
      <c r="ES424" s="50"/>
      <c r="ET424" s="50"/>
      <c r="EU424" s="50"/>
      <c r="EV424" s="50"/>
      <c r="EW424" s="50"/>
      <c r="EX424" s="50"/>
      <c r="EY424" s="50"/>
      <c r="EZ424" s="50"/>
      <c r="FA424" s="50"/>
      <c r="FB424" s="50"/>
      <c r="FC424" s="50"/>
      <c r="FD424" s="50"/>
      <c r="FE424" s="50"/>
      <c r="FF424" s="50"/>
      <c r="FG424" s="50"/>
      <c r="FH424" s="50"/>
      <c r="FI424" s="50"/>
      <c r="FJ424" s="50"/>
      <c r="FK424" s="50"/>
      <c r="FL424" s="50"/>
      <c r="FM424" s="50"/>
      <c r="FN424" s="50"/>
      <c r="FO424" s="50"/>
      <c r="FP424" s="50"/>
      <c r="FQ424" s="50"/>
      <c r="FR424" s="50"/>
      <c r="FS424" s="50"/>
      <c r="FT424" s="50"/>
      <c r="FU424" s="50"/>
      <c r="FV424" s="50"/>
      <c r="FW424" s="50"/>
      <c r="FX424" s="50"/>
      <c r="FY424" s="50"/>
      <c r="FZ424" s="50"/>
      <c r="GA424" s="50"/>
      <c r="GB424" s="50"/>
      <c r="GC424" s="50"/>
      <c r="GD424" s="50"/>
      <c r="GE424" s="50"/>
      <c r="GF424" s="50"/>
    </row>
    <row r="425" spans="1:188">
      <c r="A425" s="147"/>
      <c r="B425" s="147"/>
      <c r="C425" s="51"/>
      <c r="D425" s="52"/>
      <c r="E425" s="47"/>
      <c r="F425" s="47"/>
      <c r="G425" s="47"/>
      <c r="H425" s="47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/>
      <c r="CD425" s="50"/>
      <c r="CE425" s="50"/>
      <c r="CF425" s="50"/>
      <c r="CG425" s="50"/>
      <c r="CH425" s="50"/>
      <c r="CI425" s="50"/>
      <c r="CJ425" s="50"/>
      <c r="CK425" s="50"/>
      <c r="CL425" s="50"/>
      <c r="CM425" s="50"/>
      <c r="CN425" s="50"/>
      <c r="CO425" s="50"/>
      <c r="CP425" s="50"/>
      <c r="CQ425" s="50"/>
      <c r="CR425" s="50"/>
      <c r="CS425" s="50"/>
      <c r="CT425" s="50"/>
      <c r="CU425" s="50"/>
      <c r="CV425" s="50"/>
      <c r="CW425" s="50"/>
      <c r="CX425" s="50"/>
      <c r="CY425" s="50"/>
      <c r="CZ425" s="50"/>
      <c r="DA425" s="50"/>
      <c r="DB425" s="50"/>
      <c r="DC425" s="50"/>
      <c r="DD425" s="50"/>
      <c r="DE425" s="50"/>
      <c r="DF425" s="50"/>
      <c r="DG425" s="50"/>
      <c r="DH425" s="50"/>
      <c r="DI425" s="50"/>
      <c r="DJ425" s="50"/>
      <c r="DK425" s="50"/>
      <c r="DL425" s="50"/>
      <c r="DM425" s="50"/>
      <c r="DN425" s="50"/>
      <c r="DO425" s="50"/>
      <c r="DP425" s="50"/>
      <c r="DQ425" s="50"/>
      <c r="DR425" s="50"/>
      <c r="DS425" s="50"/>
      <c r="DT425" s="50"/>
      <c r="DU425" s="50"/>
      <c r="DV425" s="50"/>
      <c r="DW425" s="50"/>
      <c r="DX425" s="50"/>
      <c r="DY425" s="50"/>
      <c r="DZ425" s="50"/>
      <c r="EA425" s="50"/>
      <c r="EB425" s="50"/>
      <c r="EC425" s="50"/>
      <c r="ED425" s="50"/>
      <c r="EE425" s="50"/>
      <c r="EF425" s="50"/>
      <c r="EG425" s="50"/>
      <c r="EH425" s="50"/>
      <c r="EI425" s="50"/>
      <c r="EJ425" s="50"/>
      <c r="EK425" s="50"/>
      <c r="EL425" s="50"/>
      <c r="EM425" s="50"/>
      <c r="EN425" s="50"/>
      <c r="EO425" s="50"/>
      <c r="EP425" s="50"/>
      <c r="EQ425" s="50"/>
      <c r="ER425" s="50"/>
      <c r="ES425" s="50"/>
      <c r="ET425" s="50"/>
      <c r="EU425" s="50"/>
      <c r="EV425" s="50"/>
      <c r="EW425" s="50"/>
      <c r="EX425" s="50"/>
      <c r="EY425" s="50"/>
      <c r="EZ425" s="50"/>
      <c r="FA425" s="50"/>
      <c r="FB425" s="50"/>
      <c r="FC425" s="50"/>
      <c r="FD425" s="50"/>
      <c r="FE425" s="50"/>
      <c r="FF425" s="50"/>
      <c r="FG425" s="50"/>
      <c r="FH425" s="50"/>
      <c r="FI425" s="50"/>
      <c r="FJ425" s="50"/>
      <c r="FK425" s="50"/>
      <c r="FL425" s="50"/>
      <c r="FM425" s="50"/>
      <c r="FN425" s="50"/>
      <c r="FO425" s="50"/>
      <c r="FP425" s="50"/>
      <c r="FQ425" s="50"/>
      <c r="FR425" s="50"/>
      <c r="FS425" s="50"/>
      <c r="FT425" s="50"/>
      <c r="FU425" s="50"/>
      <c r="FV425" s="50"/>
      <c r="FW425" s="50"/>
      <c r="FX425" s="50"/>
      <c r="FY425" s="50"/>
      <c r="FZ425" s="50"/>
      <c r="GA425" s="50"/>
      <c r="GB425" s="50"/>
      <c r="GC425" s="50"/>
      <c r="GD425" s="50"/>
      <c r="GE425" s="50"/>
      <c r="GF425" s="50"/>
    </row>
    <row r="426" spans="1:188">
      <c r="A426" s="147"/>
      <c r="B426" s="147"/>
      <c r="C426" s="51"/>
      <c r="D426" s="52"/>
      <c r="E426" s="47"/>
      <c r="F426" s="47"/>
      <c r="G426" s="47"/>
      <c r="H426" s="47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/>
      <c r="BW426" s="50"/>
      <c r="BX426" s="50"/>
      <c r="BY426" s="50"/>
      <c r="BZ426" s="50"/>
      <c r="CA426" s="50"/>
      <c r="CB426" s="50"/>
      <c r="CC426" s="50"/>
      <c r="CD426" s="50"/>
      <c r="CE426" s="50"/>
      <c r="CF426" s="50"/>
      <c r="CG426" s="50"/>
      <c r="CH426" s="50"/>
      <c r="CI426" s="50"/>
      <c r="CJ426" s="50"/>
      <c r="CK426" s="50"/>
      <c r="CL426" s="50"/>
      <c r="CM426" s="50"/>
      <c r="CN426" s="50"/>
      <c r="CO426" s="50"/>
      <c r="CP426" s="50"/>
      <c r="CQ426" s="50"/>
      <c r="CR426" s="50"/>
      <c r="CS426" s="50"/>
      <c r="CT426" s="50"/>
      <c r="CU426" s="50"/>
      <c r="CV426" s="50"/>
      <c r="CW426" s="50"/>
      <c r="CX426" s="50"/>
      <c r="CY426" s="50"/>
      <c r="CZ426" s="50"/>
      <c r="DA426" s="50"/>
      <c r="DB426" s="50"/>
      <c r="DC426" s="50"/>
      <c r="DD426" s="50"/>
      <c r="DE426" s="50"/>
      <c r="DF426" s="50"/>
      <c r="DG426" s="50"/>
      <c r="DH426" s="50"/>
      <c r="DI426" s="50"/>
      <c r="DJ426" s="50"/>
      <c r="DK426" s="50"/>
      <c r="DL426" s="50"/>
      <c r="DM426" s="50"/>
      <c r="DN426" s="50"/>
      <c r="DO426" s="50"/>
      <c r="DP426" s="50"/>
      <c r="DQ426" s="50"/>
      <c r="DR426" s="50"/>
      <c r="DS426" s="50"/>
      <c r="DT426" s="50"/>
      <c r="DU426" s="50"/>
      <c r="DV426" s="50"/>
      <c r="DW426" s="50"/>
      <c r="DX426" s="50"/>
      <c r="DY426" s="50"/>
      <c r="DZ426" s="50"/>
      <c r="EA426" s="50"/>
      <c r="EB426" s="50"/>
      <c r="EC426" s="50"/>
      <c r="ED426" s="50"/>
      <c r="EE426" s="50"/>
      <c r="EF426" s="50"/>
      <c r="EG426" s="50"/>
      <c r="EH426" s="50"/>
      <c r="EI426" s="50"/>
      <c r="EJ426" s="50"/>
      <c r="EK426" s="50"/>
      <c r="EL426" s="50"/>
      <c r="EM426" s="50"/>
      <c r="EN426" s="50"/>
      <c r="EO426" s="50"/>
      <c r="EP426" s="50"/>
      <c r="EQ426" s="50"/>
      <c r="ER426" s="50"/>
      <c r="ES426" s="50"/>
      <c r="ET426" s="50"/>
      <c r="EU426" s="50"/>
      <c r="EV426" s="50"/>
      <c r="EW426" s="50"/>
      <c r="EX426" s="50"/>
      <c r="EY426" s="50"/>
      <c r="EZ426" s="50"/>
      <c r="FA426" s="50"/>
      <c r="FB426" s="50"/>
      <c r="FC426" s="50"/>
      <c r="FD426" s="50"/>
      <c r="FE426" s="50"/>
      <c r="FF426" s="50"/>
      <c r="FG426" s="50"/>
      <c r="FH426" s="50"/>
      <c r="FI426" s="50"/>
      <c r="FJ426" s="50"/>
      <c r="FK426" s="50"/>
      <c r="FL426" s="50"/>
      <c r="FM426" s="50"/>
      <c r="FN426" s="50"/>
      <c r="FO426" s="50"/>
      <c r="FP426" s="50"/>
      <c r="FQ426" s="50"/>
      <c r="FR426" s="50"/>
      <c r="FS426" s="50"/>
      <c r="FT426" s="50"/>
      <c r="FU426" s="50"/>
      <c r="FV426" s="50"/>
      <c r="FW426" s="50"/>
      <c r="FX426" s="50"/>
      <c r="FY426" s="50"/>
      <c r="FZ426" s="50"/>
      <c r="GA426" s="50"/>
      <c r="GB426" s="50"/>
      <c r="GC426" s="50"/>
      <c r="GD426" s="50"/>
      <c r="GE426" s="50"/>
      <c r="GF426" s="50"/>
    </row>
    <row r="427" spans="1:188">
      <c r="A427" s="147"/>
      <c r="B427" s="147"/>
      <c r="C427" s="51"/>
      <c r="D427" s="52"/>
      <c r="E427" s="47"/>
      <c r="F427" s="47"/>
      <c r="G427" s="47"/>
      <c r="H427" s="47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/>
      <c r="BS427" s="50"/>
      <c r="BT427" s="50"/>
      <c r="BU427" s="50"/>
      <c r="BV427" s="50"/>
      <c r="BW427" s="50"/>
      <c r="BX427" s="50"/>
      <c r="BY427" s="50"/>
      <c r="BZ427" s="50"/>
      <c r="CA427" s="50"/>
      <c r="CB427" s="50"/>
      <c r="CC427" s="50"/>
      <c r="CD427" s="50"/>
      <c r="CE427" s="50"/>
      <c r="CF427" s="50"/>
      <c r="CG427" s="50"/>
      <c r="CH427" s="50"/>
      <c r="CI427" s="50"/>
      <c r="CJ427" s="50"/>
      <c r="CK427" s="50"/>
      <c r="CL427" s="50"/>
      <c r="CM427" s="50"/>
      <c r="CN427" s="50"/>
      <c r="CO427" s="50"/>
      <c r="CP427" s="50"/>
      <c r="CQ427" s="50"/>
      <c r="CR427" s="50"/>
      <c r="CS427" s="50"/>
      <c r="CT427" s="50"/>
      <c r="CU427" s="50"/>
      <c r="CV427" s="50"/>
      <c r="CW427" s="50"/>
      <c r="CX427" s="50"/>
      <c r="CY427" s="50"/>
      <c r="CZ427" s="50"/>
      <c r="DA427" s="50"/>
      <c r="DB427" s="50"/>
      <c r="DC427" s="50"/>
      <c r="DD427" s="50"/>
      <c r="DE427" s="50"/>
      <c r="DF427" s="50"/>
      <c r="DG427" s="50"/>
      <c r="DH427" s="50"/>
      <c r="DI427" s="50"/>
      <c r="DJ427" s="50"/>
      <c r="DK427" s="50"/>
      <c r="DL427" s="50"/>
      <c r="DM427" s="50"/>
      <c r="DN427" s="50"/>
      <c r="DO427" s="50"/>
      <c r="DP427" s="50"/>
      <c r="DQ427" s="50"/>
      <c r="DR427" s="50"/>
      <c r="DS427" s="50"/>
      <c r="DT427" s="50"/>
      <c r="DU427" s="50"/>
      <c r="DV427" s="50"/>
      <c r="DW427" s="50"/>
      <c r="DX427" s="50"/>
      <c r="DY427" s="50"/>
      <c r="DZ427" s="50"/>
      <c r="EA427" s="50"/>
      <c r="EB427" s="50"/>
      <c r="EC427" s="50"/>
      <c r="ED427" s="50"/>
      <c r="EE427" s="50"/>
      <c r="EF427" s="50"/>
      <c r="EG427" s="50"/>
      <c r="EH427" s="50"/>
      <c r="EI427" s="50"/>
      <c r="EJ427" s="50"/>
      <c r="EK427" s="50"/>
      <c r="EL427" s="50"/>
      <c r="EM427" s="50"/>
      <c r="EN427" s="50"/>
      <c r="EO427" s="50"/>
      <c r="EP427" s="50"/>
      <c r="EQ427" s="50"/>
      <c r="ER427" s="50"/>
      <c r="ES427" s="50"/>
      <c r="ET427" s="50"/>
      <c r="EU427" s="50"/>
      <c r="EV427" s="50"/>
      <c r="EW427" s="50"/>
      <c r="EX427" s="50"/>
      <c r="EY427" s="50"/>
      <c r="EZ427" s="50"/>
      <c r="FA427" s="50"/>
      <c r="FB427" s="50"/>
      <c r="FC427" s="50"/>
      <c r="FD427" s="50"/>
      <c r="FE427" s="50"/>
      <c r="FF427" s="50"/>
      <c r="FG427" s="50"/>
      <c r="FH427" s="50"/>
      <c r="FI427" s="50"/>
      <c r="FJ427" s="50"/>
      <c r="FK427" s="50"/>
      <c r="FL427" s="50"/>
      <c r="FM427" s="50"/>
      <c r="FN427" s="50"/>
      <c r="FO427" s="50"/>
      <c r="FP427" s="50"/>
      <c r="FQ427" s="50"/>
      <c r="FR427" s="50"/>
      <c r="FS427" s="50"/>
      <c r="FT427" s="50"/>
      <c r="FU427" s="50"/>
      <c r="FV427" s="50"/>
      <c r="FW427" s="50"/>
      <c r="FX427" s="50"/>
      <c r="FY427" s="50"/>
      <c r="FZ427" s="50"/>
      <c r="GA427" s="50"/>
      <c r="GB427" s="50"/>
      <c r="GC427" s="50"/>
      <c r="GD427" s="50"/>
      <c r="GE427" s="50"/>
      <c r="GF427" s="50"/>
    </row>
    <row r="428" spans="1:188">
      <c r="A428" s="147"/>
      <c r="B428" s="147"/>
      <c r="C428" s="51"/>
      <c r="D428" s="52"/>
      <c r="E428" s="47"/>
      <c r="F428" s="47"/>
      <c r="G428" s="47"/>
      <c r="H428" s="47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/>
      <c r="BS428" s="50"/>
      <c r="BT428" s="50"/>
      <c r="BU428" s="50"/>
      <c r="BV428" s="50"/>
      <c r="BW428" s="50"/>
      <c r="BX428" s="50"/>
      <c r="BY428" s="50"/>
      <c r="BZ428" s="50"/>
      <c r="CA428" s="50"/>
      <c r="CB428" s="50"/>
      <c r="CC428" s="50"/>
      <c r="CD428" s="50"/>
      <c r="CE428" s="50"/>
      <c r="CF428" s="50"/>
      <c r="CG428" s="50"/>
      <c r="CH428" s="50"/>
      <c r="CI428" s="50"/>
      <c r="CJ428" s="50"/>
      <c r="CK428" s="50"/>
      <c r="CL428" s="50"/>
      <c r="CM428" s="50"/>
      <c r="CN428" s="50"/>
      <c r="CO428" s="50"/>
      <c r="CP428" s="50"/>
      <c r="CQ428" s="50"/>
      <c r="CR428" s="50"/>
      <c r="CS428" s="50"/>
      <c r="CT428" s="50"/>
      <c r="CU428" s="50"/>
      <c r="CV428" s="50"/>
      <c r="CW428" s="50"/>
      <c r="CX428" s="50"/>
      <c r="CY428" s="50"/>
      <c r="CZ428" s="50"/>
      <c r="DA428" s="50"/>
      <c r="DB428" s="50"/>
      <c r="DC428" s="50"/>
      <c r="DD428" s="50"/>
      <c r="DE428" s="50"/>
      <c r="DF428" s="50"/>
      <c r="DG428" s="50"/>
      <c r="DH428" s="50"/>
      <c r="DI428" s="50"/>
      <c r="DJ428" s="50"/>
      <c r="DK428" s="50"/>
      <c r="DL428" s="50"/>
      <c r="DM428" s="50"/>
      <c r="DN428" s="50"/>
      <c r="DO428" s="50"/>
      <c r="DP428" s="50"/>
      <c r="DQ428" s="50"/>
      <c r="DR428" s="50"/>
      <c r="DS428" s="50"/>
      <c r="DT428" s="50"/>
      <c r="DU428" s="50"/>
      <c r="DV428" s="50"/>
      <c r="DW428" s="50"/>
      <c r="DX428" s="50"/>
      <c r="DY428" s="50"/>
      <c r="DZ428" s="50"/>
      <c r="EA428" s="50"/>
      <c r="EB428" s="50"/>
      <c r="EC428" s="50"/>
      <c r="ED428" s="50"/>
      <c r="EE428" s="50"/>
      <c r="EF428" s="50"/>
      <c r="EG428" s="50"/>
      <c r="EH428" s="50"/>
      <c r="EI428" s="50"/>
      <c r="EJ428" s="50"/>
      <c r="EK428" s="50"/>
      <c r="EL428" s="50"/>
      <c r="EM428" s="50"/>
      <c r="EN428" s="50"/>
      <c r="EO428" s="50"/>
      <c r="EP428" s="50"/>
      <c r="EQ428" s="50"/>
      <c r="ER428" s="50"/>
      <c r="ES428" s="50"/>
      <c r="ET428" s="50"/>
      <c r="EU428" s="50"/>
      <c r="EV428" s="50"/>
      <c r="EW428" s="50"/>
      <c r="EX428" s="50"/>
      <c r="EY428" s="50"/>
      <c r="EZ428" s="50"/>
      <c r="FA428" s="50"/>
      <c r="FB428" s="50"/>
      <c r="FC428" s="50"/>
      <c r="FD428" s="50"/>
      <c r="FE428" s="50"/>
      <c r="FF428" s="50"/>
      <c r="FG428" s="50"/>
      <c r="FH428" s="50"/>
      <c r="FI428" s="50"/>
      <c r="FJ428" s="50"/>
      <c r="FK428" s="50"/>
      <c r="FL428" s="50"/>
      <c r="FM428" s="50"/>
      <c r="FN428" s="50"/>
      <c r="FO428" s="50"/>
      <c r="FP428" s="50"/>
      <c r="FQ428" s="50"/>
      <c r="FR428" s="50"/>
      <c r="FS428" s="50"/>
      <c r="FT428" s="50"/>
      <c r="FU428" s="50"/>
      <c r="FV428" s="50"/>
      <c r="FW428" s="50"/>
      <c r="FX428" s="50"/>
      <c r="FY428" s="50"/>
      <c r="FZ428" s="50"/>
      <c r="GA428" s="50"/>
      <c r="GB428" s="50"/>
      <c r="GC428" s="50"/>
      <c r="GD428" s="50"/>
      <c r="GE428" s="50"/>
      <c r="GF428" s="50"/>
    </row>
    <row r="429" spans="1:188">
      <c r="A429" s="147"/>
      <c r="B429" s="147"/>
      <c r="C429" s="51"/>
      <c r="D429" s="52"/>
      <c r="E429" s="47"/>
      <c r="F429" s="47"/>
      <c r="G429" s="47"/>
      <c r="H429" s="47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/>
      <c r="BW429" s="50"/>
      <c r="BX429" s="50"/>
      <c r="BY429" s="50"/>
      <c r="BZ429" s="50"/>
      <c r="CA429" s="50"/>
      <c r="CB429" s="50"/>
      <c r="CC429" s="50"/>
      <c r="CD429" s="50"/>
      <c r="CE429" s="50"/>
      <c r="CF429" s="50"/>
      <c r="CG429" s="50"/>
      <c r="CH429" s="50"/>
      <c r="CI429" s="50"/>
      <c r="CJ429" s="50"/>
      <c r="CK429" s="50"/>
      <c r="CL429" s="50"/>
      <c r="CM429" s="50"/>
      <c r="CN429" s="50"/>
      <c r="CO429" s="50"/>
      <c r="CP429" s="50"/>
      <c r="CQ429" s="50"/>
      <c r="CR429" s="50"/>
      <c r="CS429" s="50"/>
      <c r="CT429" s="50"/>
      <c r="CU429" s="50"/>
      <c r="CV429" s="50"/>
      <c r="CW429" s="50"/>
      <c r="CX429" s="50"/>
      <c r="CY429" s="50"/>
      <c r="CZ429" s="50"/>
      <c r="DA429" s="50"/>
      <c r="DB429" s="50"/>
      <c r="DC429" s="50"/>
      <c r="DD429" s="50"/>
      <c r="DE429" s="50"/>
      <c r="DF429" s="50"/>
      <c r="DG429" s="50"/>
      <c r="DH429" s="50"/>
      <c r="DI429" s="50"/>
      <c r="DJ429" s="50"/>
      <c r="DK429" s="50"/>
      <c r="DL429" s="50"/>
      <c r="DM429" s="50"/>
      <c r="DN429" s="50"/>
      <c r="DO429" s="50"/>
      <c r="DP429" s="50"/>
      <c r="DQ429" s="50"/>
      <c r="DR429" s="50"/>
      <c r="DS429" s="50"/>
      <c r="DT429" s="50"/>
      <c r="DU429" s="50"/>
      <c r="DV429" s="50"/>
      <c r="DW429" s="50"/>
      <c r="DX429" s="50"/>
      <c r="DY429" s="50"/>
      <c r="DZ429" s="50"/>
      <c r="EA429" s="50"/>
      <c r="EB429" s="50"/>
      <c r="EC429" s="50"/>
      <c r="ED429" s="50"/>
      <c r="EE429" s="50"/>
      <c r="EF429" s="50"/>
      <c r="EG429" s="50"/>
      <c r="EH429" s="50"/>
      <c r="EI429" s="50"/>
      <c r="EJ429" s="50"/>
      <c r="EK429" s="50"/>
      <c r="EL429" s="50"/>
      <c r="EM429" s="50"/>
      <c r="EN429" s="50"/>
      <c r="EO429" s="50"/>
      <c r="EP429" s="50"/>
      <c r="EQ429" s="50"/>
      <c r="ER429" s="50"/>
      <c r="ES429" s="50"/>
      <c r="ET429" s="50"/>
      <c r="EU429" s="50"/>
      <c r="EV429" s="50"/>
      <c r="EW429" s="50"/>
      <c r="EX429" s="50"/>
      <c r="EY429" s="50"/>
      <c r="EZ429" s="50"/>
      <c r="FA429" s="50"/>
      <c r="FB429" s="50"/>
      <c r="FC429" s="50"/>
      <c r="FD429" s="50"/>
      <c r="FE429" s="50"/>
      <c r="FF429" s="50"/>
      <c r="FG429" s="50"/>
      <c r="FH429" s="50"/>
      <c r="FI429" s="50"/>
      <c r="FJ429" s="50"/>
      <c r="FK429" s="50"/>
      <c r="FL429" s="50"/>
      <c r="FM429" s="50"/>
      <c r="FN429" s="50"/>
      <c r="FO429" s="50"/>
      <c r="FP429" s="50"/>
      <c r="FQ429" s="50"/>
      <c r="FR429" s="50"/>
      <c r="FS429" s="50"/>
      <c r="FT429" s="50"/>
      <c r="FU429" s="50"/>
      <c r="FV429" s="50"/>
      <c r="FW429" s="50"/>
      <c r="FX429" s="50"/>
      <c r="FY429" s="50"/>
      <c r="FZ429" s="50"/>
      <c r="GA429" s="50"/>
      <c r="GB429" s="50"/>
      <c r="GC429" s="50"/>
      <c r="GD429" s="50"/>
      <c r="GE429" s="50"/>
      <c r="GF429" s="50"/>
    </row>
    <row r="430" spans="1:188">
      <c r="A430" s="147"/>
      <c r="B430" s="147"/>
      <c r="C430" s="51"/>
      <c r="D430" s="52"/>
      <c r="E430" s="47"/>
      <c r="F430" s="47"/>
      <c r="G430" s="47"/>
      <c r="H430" s="47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/>
      <c r="BW430" s="50"/>
      <c r="BX430" s="50"/>
      <c r="BY430" s="50"/>
      <c r="BZ430" s="50"/>
      <c r="CA430" s="50"/>
      <c r="CB430" s="50"/>
      <c r="CC430" s="50"/>
      <c r="CD430" s="50"/>
      <c r="CE430" s="50"/>
      <c r="CF430" s="50"/>
      <c r="CG430" s="50"/>
      <c r="CH430" s="50"/>
      <c r="CI430" s="50"/>
      <c r="CJ430" s="50"/>
      <c r="CK430" s="50"/>
      <c r="CL430" s="50"/>
      <c r="CM430" s="50"/>
      <c r="CN430" s="50"/>
      <c r="CO430" s="50"/>
      <c r="CP430" s="50"/>
      <c r="CQ430" s="50"/>
      <c r="CR430" s="50"/>
      <c r="CS430" s="50"/>
      <c r="CT430" s="50"/>
      <c r="CU430" s="50"/>
      <c r="CV430" s="50"/>
      <c r="CW430" s="50"/>
      <c r="CX430" s="50"/>
      <c r="CY430" s="50"/>
      <c r="CZ430" s="50"/>
      <c r="DA430" s="50"/>
      <c r="DB430" s="50"/>
      <c r="DC430" s="50"/>
      <c r="DD430" s="50"/>
      <c r="DE430" s="50"/>
      <c r="DF430" s="50"/>
      <c r="DG430" s="50"/>
      <c r="DH430" s="50"/>
      <c r="DI430" s="50"/>
      <c r="DJ430" s="50"/>
      <c r="DK430" s="50"/>
      <c r="DL430" s="50"/>
      <c r="DM430" s="50"/>
      <c r="DN430" s="50"/>
      <c r="DO430" s="50"/>
      <c r="DP430" s="50"/>
      <c r="DQ430" s="50"/>
      <c r="DR430" s="50"/>
      <c r="DS430" s="50"/>
      <c r="DT430" s="50"/>
      <c r="DU430" s="50"/>
      <c r="DV430" s="50"/>
      <c r="DW430" s="50"/>
      <c r="DX430" s="50"/>
      <c r="DY430" s="50"/>
      <c r="DZ430" s="50"/>
      <c r="EA430" s="50"/>
      <c r="EB430" s="50"/>
      <c r="EC430" s="50"/>
      <c r="ED430" s="50"/>
      <c r="EE430" s="50"/>
      <c r="EF430" s="50"/>
      <c r="EG430" s="50"/>
      <c r="EH430" s="50"/>
      <c r="EI430" s="50"/>
      <c r="EJ430" s="50"/>
      <c r="EK430" s="50"/>
      <c r="EL430" s="50"/>
      <c r="EM430" s="50"/>
      <c r="EN430" s="50"/>
      <c r="EO430" s="50"/>
      <c r="EP430" s="50"/>
      <c r="EQ430" s="50"/>
      <c r="ER430" s="50"/>
      <c r="ES430" s="50"/>
      <c r="ET430" s="50"/>
      <c r="EU430" s="50"/>
      <c r="EV430" s="50"/>
      <c r="EW430" s="50"/>
      <c r="EX430" s="50"/>
      <c r="EY430" s="50"/>
      <c r="EZ430" s="50"/>
      <c r="FA430" s="50"/>
      <c r="FB430" s="50"/>
      <c r="FC430" s="50"/>
      <c r="FD430" s="50"/>
      <c r="FE430" s="50"/>
      <c r="FF430" s="50"/>
      <c r="FG430" s="50"/>
      <c r="FH430" s="50"/>
      <c r="FI430" s="50"/>
      <c r="FJ430" s="50"/>
      <c r="FK430" s="50"/>
      <c r="FL430" s="50"/>
      <c r="FM430" s="50"/>
      <c r="FN430" s="50"/>
      <c r="FO430" s="50"/>
      <c r="FP430" s="50"/>
      <c r="FQ430" s="50"/>
      <c r="FR430" s="50"/>
      <c r="FS430" s="50"/>
      <c r="FT430" s="50"/>
      <c r="FU430" s="50"/>
      <c r="FV430" s="50"/>
      <c r="FW430" s="50"/>
      <c r="FX430" s="50"/>
      <c r="FY430" s="50"/>
      <c r="FZ430" s="50"/>
      <c r="GA430" s="50"/>
      <c r="GB430" s="50"/>
      <c r="GC430" s="50"/>
      <c r="GD430" s="50"/>
      <c r="GE430" s="50"/>
      <c r="GF430" s="50"/>
    </row>
    <row r="431" spans="1:188">
      <c r="A431" s="147"/>
      <c r="B431" s="147"/>
      <c r="C431" s="51"/>
      <c r="D431" s="52"/>
      <c r="E431" s="47"/>
      <c r="F431" s="47"/>
      <c r="G431" s="47"/>
      <c r="H431" s="47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/>
      <c r="BW431" s="50"/>
      <c r="BX431" s="50"/>
      <c r="BY431" s="50"/>
      <c r="BZ431" s="50"/>
      <c r="CA431" s="50"/>
      <c r="CB431" s="50"/>
      <c r="CC431" s="50"/>
      <c r="CD431" s="50"/>
      <c r="CE431" s="50"/>
      <c r="CF431" s="50"/>
      <c r="CG431" s="50"/>
      <c r="CH431" s="50"/>
      <c r="CI431" s="50"/>
      <c r="CJ431" s="50"/>
      <c r="CK431" s="50"/>
      <c r="CL431" s="50"/>
      <c r="CM431" s="50"/>
      <c r="CN431" s="50"/>
      <c r="CO431" s="50"/>
      <c r="CP431" s="50"/>
      <c r="CQ431" s="50"/>
      <c r="CR431" s="50"/>
      <c r="CS431" s="50"/>
      <c r="CT431" s="50"/>
      <c r="CU431" s="50"/>
      <c r="CV431" s="50"/>
      <c r="CW431" s="50"/>
      <c r="CX431" s="50"/>
      <c r="CY431" s="50"/>
      <c r="CZ431" s="50"/>
      <c r="DA431" s="50"/>
      <c r="DB431" s="50"/>
      <c r="DC431" s="50"/>
      <c r="DD431" s="50"/>
      <c r="DE431" s="50"/>
      <c r="DF431" s="50"/>
      <c r="DG431" s="50"/>
      <c r="DH431" s="50"/>
      <c r="DI431" s="50"/>
      <c r="DJ431" s="50"/>
      <c r="DK431" s="50"/>
      <c r="DL431" s="50"/>
      <c r="DM431" s="50"/>
      <c r="DN431" s="50"/>
      <c r="DO431" s="50"/>
      <c r="DP431" s="50"/>
      <c r="DQ431" s="50"/>
      <c r="DR431" s="50"/>
      <c r="DS431" s="50"/>
      <c r="DT431" s="50"/>
      <c r="DU431" s="50"/>
      <c r="DV431" s="50"/>
      <c r="DW431" s="50"/>
      <c r="DX431" s="50"/>
      <c r="DY431" s="50"/>
      <c r="DZ431" s="50"/>
      <c r="EA431" s="50"/>
      <c r="EB431" s="50"/>
      <c r="EC431" s="50"/>
      <c r="ED431" s="50"/>
      <c r="EE431" s="50"/>
      <c r="EF431" s="50"/>
      <c r="EG431" s="50"/>
      <c r="EH431" s="50"/>
      <c r="EI431" s="50"/>
      <c r="EJ431" s="50"/>
      <c r="EK431" s="50"/>
      <c r="EL431" s="50"/>
      <c r="EM431" s="50"/>
      <c r="EN431" s="50"/>
      <c r="EO431" s="50"/>
      <c r="EP431" s="50"/>
      <c r="EQ431" s="50"/>
      <c r="ER431" s="50"/>
      <c r="ES431" s="50"/>
      <c r="ET431" s="50"/>
      <c r="EU431" s="50"/>
      <c r="EV431" s="50"/>
      <c r="EW431" s="50"/>
      <c r="EX431" s="50"/>
      <c r="EY431" s="50"/>
      <c r="EZ431" s="50"/>
      <c r="FA431" s="50"/>
      <c r="FB431" s="50"/>
      <c r="FC431" s="50"/>
      <c r="FD431" s="50"/>
      <c r="FE431" s="50"/>
      <c r="FF431" s="50"/>
      <c r="FG431" s="50"/>
      <c r="FH431" s="50"/>
      <c r="FI431" s="50"/>
      <c r="FJ431" s="50"/>
      <c r="FK431" s="50"/>
      <c r="FL431" s="50"/>
      <c r="FM431" s="50"/>
      <c r="FN431" s="50"/>
      <c r="FO431" s="50"/>
      <c r="FP431" s="50"/>
      <c r="FQ431" s="50"/>
      <c r="FR431" s="50"/>
      <c r="FS431" s="50"/>
      <c r="FT431" s="50"/>
      <c r="FU431" s="50"/>
      <c r="FV431" s="50"/>
      <c r="FW431" s="50"/>
      <c r="FX431" s="50"/>
      <c r="FY431" s="50"/>
      <c r="FZ431" s="50"/>
      <c r="GA431" s="50"/>
      <c r="GB431" s="50"/>
      <c r="GC431" s="50"/>
      <c r="GD431" s="50"/>
      <c r="GE431" s="50"/>
      <c r="GF431" s="50"/>
    </row>
    <row r="432" spans="1:188">
      <c r="A432" s="147"/>
      <c r="B432" s="147"/>
      <c r="C432" s="51"/>
      <c r="D432" s="52"/>
      <c r="E432" s="47"/>
      <c r="F432" s="47"/>
      <c r="G432" s="47"/>
      <c r="H432" s="47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/>
      <c r="BW432" s="50"/>
      <c r="BX432" s="50"/>
      <c r="BY432" s="50"/>
      <c r="BZ432" s="50"/>
      <c r="CA432" s="50"/>
      <c r="CB432" s="50"/>
      <c r="CC432" s="50"/>
      <c r="CD432" s="50"/>
      <c r="CE432" s="50"/>
      <c r="CF432" s="50"/>
      <c r="CG432" s="50"/>
      <c r="CH432" s="50"/>
      <c r="CI432" s="50"/>
      <c r="CJ432" s="50"/>
      <c r="CK432" s="50"/>
      <c r="CL432" s="50"/>
      <c r="CM432" s="50"/>
      <c r="CN432" s="50"/>
      <c r="CO432" s="50"/>
      <c r="CP432" s="50"/>
      <c r="CQ432" s="50"/>
      <c r="CR432" s="50"/>
      <c r="CS432" s="50"/>
      <c r="CT432" s="50"/>
      <c r="CU432" s="50"/>
      <c r="CV432" s="50"/>
      <c r="CW432" s="50"/>
      <c r="CX432" s="50"/>
      <c r="CY432" s="50"/>
      <c r="CZ432" s="50"/>
      <c r="DA432" s="50"/>
      <c r="DB432" s="50"/>
      <c r="DC432" s="50"/>
      <c r="DD432" s="50"/>
      <c r="DE432" s="50"/>
      <c r="DF432" s="50"/>
      <c r="DG432" s="50"/>
      <c r="DH432" s="50"/>
      <c r="DI432" s="50"/>
      <c r="DJ432" s="50"/>
      <c r="DK432" s="50"/>
      <c r="DL432" s="50"/>
      <c r="DM432" s="50"/>
      <c r="DN432" s="50"/>
      <c r="DO432" s="50"/>
      <c r="DP432" s="50"/>
      <c r="DQ432" s="50"/>
      <c r="DR432" s="50"/>
      <c r="DS432" s="50"/>
      <c r="DT432" s="50"/>
      <c r="DU432" s="50"/>
      <c r="DV432" s="50"/>
      <c r="DW432" s="50"/>
      <c r="DX432" s="50"/>
      <c r="DY432" s="50"/>
      <c r="DZ432" s="50"/>
      <c r="EA432" s="50"/>
      <c r="EB432" s="50"/>
      <c r="EC432" s="50"/>
      <c r="ED432" s="50"/>
      <c r="EE432" s="50"/>
      <c r="EF432" s="50"/>
      <c r="EG432" s="50"/>
      <c r="EH432" s="50"/>
      <c r="EI432" s="50"/>
      <c r="EJ432" s="50"/>
      <c r="EK432" s="50"/>
      <c r="EL432" s="50"/>
      <c r="EM432" s="50"/>
      <c r="EN432" s="50"/>
      <c r="EO432" s="50"/>
      <c r="EP432" s="50"/>
      <c r="EQ432" s="50"/>
      <c r="ER432" s="50"/>
      <c r="ES432" s="50"/>
      <c r="ET432" s="50"/>
      <c r="EU432" s="50"/>
      <c r="EV432" s="50"/>
      <c r="EW432" s="50"/>
      <c r="EX432" s="50"/>
      <c r="EY432" s="50"/>
      <c r="EZ432" s="50"/>
      <c r="FA432" s="50"/>
      <c r="FB432" s="50"/>
      <c r="FC432" s="50"/>
      <c r="FD432" s="50"/>
      <c r="FE432" s="50"/>
      <c r="FF432" s="50"/>
      <c r="FG432" s="50"/>
      <c r="FH432" s="50"/>
      <c r="FI432" s="50"/>
      <c r="FJ432" s="50"/>
      <c r="FK432" s="50"/>
      <c r="FL432" s="50"/>
      <c r="FM432" s="50"/>
      <c r="FN432" s="50"/>
      <c r="FO432" s="50"/>
      <c r="FP432" s="50"/>
      <c r="FQ432" s="50"/>
      <c r="FR432" s="50"/>
      <c r="FS432" s="50"/>
      <c r="FT432" s="50"/>
      <c r="FU432" s="50"/>
      <c r="FV432" s="50"/>
      <c r="FW432" s="50"/>
      <c r="FX432" s="50"/>
      <c r="FY432" s="50"/>
      <c r="FZ432" s="50"/>
      <c r="GA432" s="50"/>
      <c r="GB432" s="50"/>
      <c r="GC432" s="50"/>
      <c r="GD432" s="50"/>
      <c r="GE432" s="50"/>
      <c r="GF432" s="50"/>
    </row>
    <row r="433" spans="1:188">
      <c r="A433" s="147"/>
      <c r="B433" s="147"/>
      <c r="C433" s="51"/>
      <c r="D433" s="52"/>
      <c r="E433" s="47"/>
      <c r="F433" s="47"/>
      <c r="G433" s="47"/>
      <c r="H433" s="47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/>
      <c r="BW433" s="50"/>
      <c r="BX433" s="50"/>
      <c r="BY433" s="50"/>
      <c r="BZ433" s="50"/>
      <c r="CA433" s="50"/>
      <c r="CB433" s="50"/>
      <c r="CC433" s="50"/>
      <c r="CD433" s="50"/>
      <c r="CE433" s="50"/>
      <c r="CF433" s="50"/>
      <c r="CG433" s="50"/>
      <c r="CH433" s="50"/>
      <c r="CI433" s="50"/>
      <c r="CJ433" s="50"/>
      <c r="CK433" s="50"/>
      <c r="CL433" s="50"/>
      <c r="CM433" s="50"/>
      <c r="CN433" s="50"/>
      <c r="CO433" s="50"/>
      <c r="CP433" s="50"/>
      <c r="CQ433" s="50"/>
      <c r="CR433" s="50"/>
      <c r="CS433" s="50"/>
      <c r="CT433" s="50"/>
      <c r="CU433" s="50"/>
      <c r="CV433" s="50"/>
      <c r="CW433" s="50"/>
      <c r="CX433" s="50"/>
      <c r="CY433" s="50"/>
      <c r="CZ433" s="50"/>
      <c r="DA433" s="50"/>
      <c r="DB433" s="50"/>
      <c r="DC433" s="50"/>
      <c r="DD433" s="50"/>
      <c r="DE433" s="50"/>
      <c r="DF433" s="50"/>
      <c r="DG433" s="50"/>
      <c r="DH433" s="50"/>
      <c r="DI433" s="50"/>
      <c r="DJ433" s="50"/>
      <c r="DK433" s="50"/>
      <c r="DL433" s="50"/>
      <c r="DM433" s="50"/>
      <c r="DN433" s="50"/>
      <c r="DO433" s="50"/>
      <c r="DP433" s="50"/>
      <c r="DQ433" s="50"/>
      <c r="DR433" s="50"/>
      <c r="DS433" s="50"/>
      <c r="DT433" s="50"/>
      <c r="DU433" s="50"/>
      <c r="DV433" s="50"/>
      <c r="DW433" s="50"/>
      <c r="DX433" s="50"/>
      <c r="DY433" s="50"/>
      <c r="DZ433" s="50"/>
      <c r="EA433" s="50"/>
      <c r="EB433" s="50"/>
      <c r="EC433" s="50"/>
      <c r="ED433" s="50"/>
      <c r="EE433" s="50"/>
      <c r="EF433" s="50"/>
      <c r="EG433" s="50"/>
      <c r="EH433" s="50"/>
      <c r="EI433" s="50"/>
      <c r="EJ433" s="50"/>
      <c r="EK433" s="50"/>
      <c r="EL433" s="50"/>
      <c r="EM433" s="50"/>
      <c r="EN433" s="50"/>
      <c r="EO433" s="50"/>
      <c r="EP433" s="50"/>
      <c r="EQ433" s="50"/>
      <c r="ER433" s="50"/>
      <c r="ES433" s="50"/>
      <c r="ET433" s="50"/>
      <c r="EU433" s="50"/>
      <c r="EV433" s="50"/>
      <c r="EW433" s="50"/>
      <c r="EX433" s="50"/>
      <c r="EY433" s="50"/>
      <c r="EZ433" s="50"/>
      <c r="FA433" s="50"/>
      <c r="FB433" s="50"/>
      <c r="FC433" s="50"/>
      <c r="FD433" s="50"/>
      <c r="FE433" s="50"/>
      <c r="FF433" s="50"/>
      <c r="FG433" s="50"/>
      <c r="FH433" s="50"/>
      <c r="FI433" s="50"/>
      <c r="FJ433" s="50"/>
      <c r="FK433" s="50"/>
      <c r="FL433" s="50"/>
      <c r="FM433" s="50"/>
      <c r="FN433" s="50"/>
      <c r="FO433" s="50"/>
      <c r="FP433" s="50"/>
      <c r="FQ433" s="50"/>
      <c r="FR433" s="50"/>
      <c r="FS433" s="50"/>
      <c r="FT433" s="50"/>
      <c r="FU433" s="50"/>
      <c r="FV433" s="50"/>
      <c r="FW433" s="50"/>
      <c r="FX433" s="50"/>
      <c r="FY433" s="50"/>
      <c r="FZ433" s="50"/>
      <c r="GA433" s="50"/>
      <c r="GB433" s="50"/>
      <c r="GC433" s="50"/>
      <c r="GD433" s="50"/>
      <c r="GE433" s="50"/>
      <c r="GF433" s="50"/>
    </row>
    <row r="434" spans="1:188">
      <c r="A434" s="147"/>
      <c r="B434" s="147"/>
      <c r="C434" s="51"/>
      <c r="D434" s="52"/>
      <c r="E434" s="47"/>
      <c r="F434" s="47"/>
      <c r="G434" s="47"/>
      <c r="H434" s="47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/>
      <c r="BW434" s="50"/>
      <c r="BX434" s="50"/>
      <c r="BY434" s="50"/>
      <c r="BZ434" s="50"/>
      <c r="CA434" s="50"/>
      <c r="CB434" s="50"/>
      <c r="CC434" s="50"/>
      <c r="CD434" s="50"/>
      <c r="CE434" s="50"/>
      <c r="CF434" s="50"/>
      <c r="CG434" s="50"/>
      <c r="CH434" s="50"/>
      <c r="CI434" s="50"/>
      <c r="CJ434" s="50"/>
      <c r="CK434" s="50"/>
      <c r="CL434" s="50"/>
      <c r="CM434" s="50"/>
      <c r="CN434" s="50"/>
      <c r="CO434" s="50"/>
      <c r="CP434" s="50"/>
      <c r="CQ434" s="50"/>
      <c r="CR434" s="50"/>
      <c r="CS434" s="50"/>
      <c r="CT434" s="50"/>
      <c r="CU434" s="50"/>
      <c r="CV434" s="50"/>
      <c r="CW434" s="50"/>
      <c r="CX434" s="50"/>
      <c r="CY434" s="50"/>
      <c r="CZ434" s="50"/>
      <c r="DA434" s="50"/>
      <c r="DB434" s="50"/>
      <c r="DC434" s="50"/>
      <c r="DD434" s="50"/>
      <c r="DE434" s="50"/>
      <c r="DF434" s="50"/>
      <c r="DG434" s="50"/>
      <c r="DH434" s="50"/>
      <c r="DI434" s="50"/>
      <c r="DJ434" s="50"/>
      <c r="DK434" s="50"/>
      <c r="DL434" s="50"/>
      <c r="DM434" s="50"/>
      <c r="DN434" s="50"/>
      <c r="DO434" s="50"/>
      <c r="DP434" s="50"/>
      <c r="DQ434" s="50"/>
      <c r="DR434" s="50"/>
      <c r="DS434" s="50"/>
      <c r="DT434" s="50"/>
      <c r="DU434" s="50"/>
      <c r="DV434" s="50"/>
      <c r="DW434" s="50"/>
      <c r="DX434" s="50"/>
      <c r="DY434" s="50"/>
      <c r="DZ434" s="50"/>
      <c r="EA434" s="50"/>
      <c r="EB434" s="50"/>
      <c r="EC434" s="50"/>
      <c r="ED434" s="50"/>
      <c r="EE434" s="50"/>
      <c r="EF434" s="50"/>
      <c r="EG434" s="50"/>
      <c r="EH434" s="50"/>
      <c r="EI434" s="50"/>
      <c r="EJ434" s="50"/>
      <c r="EK434" s="50"/>
      <c r="EL434" s="50"/>
      <c r="EM434" s="50"/>
      <c r="EN434" s="50"/>
      <c r="EO434" s="50"/>
      <c r="EP434" s="50"/>
      <c r="EQ434" s="50"/>
      <c r="ER434" s="50"/>
      <c r="ES434" s="50"/>
      <c r="ET434" s="50"/>
      <c r="EU434" s="50"/>
      <c r="EV434" s="50"/>
      <c r="EW434" s="50"/>
      <c r="EX434" s="50"/>
      <c r="EY434" s="50"/>
      <c r="EZ434" s="50"/>
      <c r="FA434" s="50"/>
      <c r="FB434" s="50"/>
      <c r="FC434" s="50"/>
      <c r="FD434" s="50"/>
      <c r="FE434" s="50"/>
      <c r="FF434" s="50"/>
      <c r="FG434" s="50"/>
      <c r="FH434" s="50"/>
      <c r="FI434" s="50"/>
      <c r="FJ434" s="50"/>
      <c r="FK434" s="50"/>
      <c r="FL434" s="50"/>
      <c r="FM434" s="50"/>
      <c r="FN434" s="50"/>
      <c r="FO434" s="50"/>
      <c r="FP434" s="50"/>
      <c r="FQ434" s="50"/>
      <c r="FR434" s="50"/>
      <c r="FS434" s="50"/>
      <c r="FT434" s="50"/>
      <c r="FU434" s="50"/>
      <c r="FV434" s="50"/>
      <c r="FW434" s="50"/>
      <c r="FX434" s="50"/>
      <c r="FY434" s="50"/>
      <c r="FZ434" s="50"/>
      <c r="GA434" s="50"/>
      <c r="GB434" s="50"/>
      <c r="GC434" s="50"/>
      <c r="GD434" s="50"/>
      <c r="GE434" s="50"/>
      <c r="GF434" s="50"/>
    </row>
    <row r="435" spans="1:188">
      <c r="A435" s="147"/>
      <c r="B435" s="147"/>
      <c r="C435" s="51"/>
      <c r="D435" s="52"/>
      <c r="E435" s="47"/>
      <c r="F435" s="47"/>
      <c r="G435" s="47"/>
      <c r="H435" s="47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0"/>
      <c r="BR435" s="50"/>
      <c r="BS435" s="50"/>
      <c r="BT435" s="50"/>
      <c r="BU435" s="50"/>
      <c r="BV435" s="50"/>
      <c r="BW435" s="50"/>
      <c r="BX435" s="50"/>
      <c r="BY435" s="50"/>
      <c r="BZ435" s="50"/>
      <c r="CA435" s="50"/>
      <c r="CB435" s="50"/>
      <c r="CC435" s="50"/>
      <c r="CD435" s="50"/>
      <c r="CE435" s="50"/>
      <c r="CF435" s="50"/>
      <c r="CG435" s="50"/>
      <c r="CH435" s="50"/>
      <c r="CI435" s="50"/>
      <c r="CJ435" s="50"/>
      <c r="CK435" s="50"/>
      <c r="CL435" s="50"/>
      <c r="CM435" s="50"/>
      <c r="CN435" s="50"/>
      <c r="CO435" s="50"/>
      <c r="CP435" s="50"/>
      <c r="CQ435" s="50"/>
      <c r="CR435" s="50"/>
      <c r="CS435" s="50"/>
      <c r="CT435" s="50"/>
      <c r="CU435" s="50"/>
      <c r="CV435" s="50"/>
      <c r="CW435" s="50"/>
      <c r="CX435" s="50"/>
      <c r="CY435" s="50"/>
      <c r="CZ435" s="50"/>
      <c r="DA435" s="50"/>
      <c r="DB435" s="50"/>
      <c r="DC435" s="50"/>
      <c r="DD435" s="50"/>
      <c r="DE435" s="50"/>
      <c r="DF435" s="50"/>
      <c r="DG435" s="50"/>
      <c r="DH435" s="50"/>
      <c r="DI435" s="50"/>
      <c r="DJ435" s="50"/>
      <c r="DK435" s="50"/>
      <c r="DL435" s="50"/>
      <c r="DM435" s="50"/>
      <c r="DN435" s="50"/>
      <c r="DO435" s="50"/>
      <c r="DP435" s="50"/>
      <c r="DQ435" s="50"/>
      <c r="DR435" s="50"/>
      <c r="DS435" s="50"/>
      <c r="DT435" s="50"/>
      <c r="DU435" s="50"/>
      <c r="DV435" s="50"/>
      <c r="DW435" s="50"/>
      <c r="DX435" s="50"/>
      <c r="DY435" s="50"/>
      <c r="DZ435" s="50"/>
      <c r="EA435" s="50"/>
      <c r="EB435" s="50"/>
      <c r="EC435" s="50"/>
      <c r="ED435" s="50"/>
      <c r="EE435" s="50"/>
      <c r="EF435" s="50"/>
      <c r="EG435" s="50"/>
      <c r="EH435" s="50"/>
      <c r="EI435" s="50"/>
      <c r="EJ435" s="50"/>
      <c r="EK435" s="50"/>
      <c r="EL435" s="50"/>
      <c r="EM435" s="50"/>
      <c r="EN435" s="50"/>
      <c r="EO435" s="50"/>
      <c r="EP435" s="50"/>
      <c r="EQ435" s="50"/>
      <c r="ER435" s="50"/>
      <c r="ES435" s="50"/>
      <c r="ET435" s="50"/>
      <c r="EU435" s="50"/>
      <c r="EV435" s="50"/>
      <c r="EW435" s="50"/>
      <c r="EX435" s="50"/>
      <c r="EY435" s="50"/>
      <c r="EZ435" s="50"/>
      <c r="FA435" s="50"/>
      <c r="FB435" s="50"/>
      <c r="FC435" s="50"/>
      <c r="FD435" s="50"/>
      <c r="FE435" s="50"/>
      <c r="FF435" s="50"/>
      <c r="FG435" s="50"/>
      <c r="FH435" s="50"/>
      <c r="FI435" s="50"/>
      <c r="FJ435" s="50"/>
      <c r="FK435" s="50"/>
      <c r="FL435" s="50"/>
      <c r="FM435" s="50"/>
      <c r="FN435" s="50"/>
      <c r="FO435" s="50"/>
      <c r="FP435" s="50"/>
      <c r="FQ435" s="50"/>
      <c r="FR435" s="50"/>
      <c r="FS435" s="50"/>
      <c r="FT435" s="50"/>
      <c r="FU435" s="50"/>
      <c r="FV435" s="50"/>
      <c r="FW435" s="50"/>
      <c r="FX435" s="50"/>
      <c r="FY435" s="50"/>
      <c r="FZ435" s="50"/>
      <c r="GA435" s="50"/>
      <c r="GB435" s="50"/>
      <c r="GC435" s="50"/>
      <c r="GD435" s="50"/>
      <c r="GE435" s="50"/>
      <c r="GF435" s="50"/>
    </row>
    <row r="436" spans="1:188">
      <c r="A436" s="147"/>
      <c r="B436" s="147"/>
      <c r="C436" s="51"/>
      <c r="D436" s="52"/>
      <c r="E436" s="47"/>
      <c r="F436" s="47"/>
      <c r="G436" s="47"/>
      <c r="H436" s="47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/>
      <c r="BW436" s="50"/>
      <c r="BX436" s="50"/>
      <c r="BY436" s="50"/>
      <c r="BZ436" s="50"/>
      <c r="CA436" s="50"/>
      <c r="CB436" s="50"/>
      <c r="CC436" s="50"/>
      <c r="CD436" s="50"/>
      <c r="CE436" s="50"/>
      <c r="CF436" s="50"/>
      <c r="CG436" s="50"/>
      <c r="CH436" s="50"/>
      <c r="CI436" s="50"/>
      <c r="CJ436" s="50"/>
      <c r="CK436" s="50"/>
      <c r="CL436" s="50"/>
      <c r="CM436" s="50"/>
      <c r="CN436" s="50"/>
      <c r="CO436" s="50"/>
      <c r="CP436" s="50"/>
      <c r="CQ436" s="50"/>
      <c r="CR436" s="50"/>
      <c r="CS436" s="50"/>
      <c r="CT436" s="50"/>
      <c r="CU436" s="50"/>
      <c r="CV436" s="50"/>
      <c r="CW436" s="50"/>
      <c r="CX436" s="50"/>
      <c r="CY436" s="50"/>
      <c r="CZ436" s="50"/>
      <c r="DA436" s="50"/>
      <c r="DB436" s="50"/>
      <c r="DC436" s="50"/>
      <c r="DD436" s="50"/>
      <c r="DE436" s="50"/>
      <c r="DF436" s="50"/>
      <c r="DG436" s="50"/>
      <c r="DH436" s="50"/>
      <c r="DI436" s="50"/>
      <c r="DJ436" s="50"/>
      <c r="DK436" s="50"/>
      <c r="DL436" s="50"/>
      <c r="DM436" s="50"/>
      <c r="DN436" s="50"/>
      <c r="DO436" s="50"/>
      <c r="DP436" s="50"/>
      <c r="DQ436" s="50"/>
      <c r="DR436" s="50"/>
      <c r="DS436" s="50"/>
      <c r="DT436" s="50"/>
      <c r="DU436" s="50"/>
      <c r="DV436" s="50"/>
      <c r="DW436" s="50"/>
      <c r="DX436" s="50"/>
      <c r="DY436" s="50"/>
      <c r="DZ436" s="50"/>
      <c r="EA436" s="50"/>
      <c r="EB436" s="50"/>
      <c r="EC436" s="50"/>
      <c r="ED436" s="50"/>
      <c r="EE436" s="50"/>
      <c r="EF436" s="50"/>
      <c r="EG436" s="50"/>
      <c r="EH436" s="50"/>
      <c r="EI436" s="50"/>
      <c r="EJ436" s="50"/>
      <c r="EK436" s="50"/>
      <c r="EL436" s="50"/>
      <c r="EM436" s="50"/>
      <c r="EN436" s="50"/>
      <c r="EO436" s="50"/>
      <c r="EP436" s="50"/>
      <c r="EQ436" s="50"/>
      <c r="ER436" s="50"/>
      <c r="ES436" s="50"/>
      <c r="ET436" s="50"/>
      <c r="EU436" s="50"/>
      <c r="EV436" s="50"/>
      <c r="EW436" s="50"/>
      <c r="EX436" s="50"/>
      <c r="EY436" s="50"/>
      <c r="EZ436" s="50"/>
      <c r="FA436" s="50"/>
      <c r="FB436" s="50"/>
      <c r="FC436" s="50"/>
      <c r="FD436" s="50"/>
      <c r="FE436" s="50"/>
      <c r="FF436" s="50"/>
      <c r="FG436" s="50"/>
      <c r="FH436" s="50"/>
      <c r="FI436" s="50"/>
      <c r="FJ436" s="50"/>
      <c r="FK436" s="50"/>
      <c r="FL436" s="50"/>
      <c r="FM436" s="50"/>
      <c r="FN436" s="50"/>
      <c r="FO436" s="50"/>
      <c r="FP436" s="50"/>
      <c r="FQ436" s="50"/>
      <c r="FR436" s="50"/>
      <c r="FS436" s="50"/>
      <c r="FT436" s="50"/>
      <c r="FU436" s="50"/>
      <c r="FV436" s="50"/>
      <c r="FW436" s="50"/>
      <c r="FX436" s="50"/>
      <c r="FY436" s="50"/>
      <c r="FZ436" s="50"/>
      <c r="GA436" s="50"/>
      <c r="GB436" s="50"/>
      <c r="GC436" s="50"/>
      <c r="GD436" s="50"/>
      <c r="GE436" s="50"/>
      <c r="GF436" s="50"/>
    </row>
    <row r="437" spans="1:188">
      <c r="A437" s="147"/>
      <c r="B437" s="147"/>
      <c r="C437" s="51"/>
      <c r="D437" s="52"/>
      <c r="E437" s="47"/>
      <c r="F437" s="47"/>
      <c r="G437" s="47"/>
      <c r="H437" s="47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/>
      <c r="BW437" s="50"/>
      <c r="BX437" s="50"/>
      <c r="BY437" s="50"/>
      <c r="BZ437" s="50"/>
      <c r="CA437" s="50"/>
      <c r="CB437" s="50"/>
      <c r="CC437" s="50"/>
      <c r="CD437" s="50"/>
      <c r="CE437" s="50"/>
      <c r="CF437" s="50"/>
      <c r="CG437" s="50"/>
      <c r="CH437" s="50"/>
      <c r="CI437" s="50"/>
      <c r="CJ437" s="50"/>
      <c r="CK437" s="50"/>
      <c r="CL437" s="50"/>
      <c r="CM437" s="50"/>
      <c r="CN437" s="50"/>
      <c r="CO437" s="50"/>
      <c r="CP437" s="50"/>
      <c r="CQ437" s="50"/>
      <c r="CR437" s="50"/>
      <c r="CS437" s="50"/>
      <c r="CT437" s="50"/>
      <c r="CU437" s="50"/>
      <c r="CV437" s="50"/>
      <c r="CW437" s="50"/>
      <c r="CX437" s="50"/>
      <c r="CY437" s="50"/>
      <c r="CZ437" s="50"/>
      <c r="DA437" s="50"/>
      <c r="DB437" s="50"/>
      <c r="DC437" s="50"/>
      <c r="DD437" s="50"/>
      <c r="DE437" s="50"/>
      <c r="DF437" s="50"/>
      <c r="DG437" s="50"/>
      <c r="DH437" s="50"/>
      <c r="DI437" s="50"/>
      <c r="DJ437" s="50"/>
      <c r="DK437" s="50"/>
      <c r="DL437" s="50"/>
      <c r="DM437" s="50"/>
      <c r="DN437" s="50"/>
      <c r="DO437" s="50"/>
      <c r="DP437" s="50"/>
      <c r="DQ437" s="50"/>
      <c r="DR437" s="50"/>
      <c r="DS437" s="50"/>
      <c r="DT437" s="50"/>
      <c r="DU437" s="50"/>
      <c r="DV437" s="50"/>
      <c r="DW437" s="50"/>
      <c r="DX437" s="50"/>
      <c r="DY437" s="50"/>
      <c r="DZ437" s="50"/>
      <c r="EA437" s="50"/>
      <c r="EB437" s="50"/>
      <c r="EC437" s="50"/>
      <c r="ED437" s="50"/>
      <c r="EE437" s="50"/>
      <c r="EF437" s="50"/>
      <c r="EG437" s="50"/>
      <c r="EH437" s="50"/>
      <c r="EI437" s="50"/>
      <c r="EJ437" s="50"/>
      <c r="EK437" s="50"/>
      <c r="EL437" s="50"/>
      <c r="EM437" s="50"/>
      <c r="EN437" s="50"/>
      <c r="EO437" s="50"/>
      <c r="EP437" s="50"/>
      <c r="EQ437" s="50"/>
      <c r="ER437" s="50"/>
      <c r="ES437" s="50"/>
      <c r="ET437" s="50"/>
      <c r="EU437" s="50"/>
      <c r="EV437" s="50"/>
      <c r="EW437" s="50"/>
      <c r="EX437" s="50"/>
      <c r="EY437" s="50"/>
      <c r="EZ437" s="50"/>
      <c r="FA437" s="50"/>
      <c r="FB437" s="50"/>
      <c r="FC437" s="50"/>
      <c r="FD437" s="50"/>
      <c r="FE437" s="50"/>
      <c r="FF437" s="50"/>
      <c r="FG437" s="50"/>
      <c r="FH437" s="50"/>
      <c r="FI437" s="50"/>
      <c r="FJ437" s="50"/>
      <c r="FK437" s="50"/>
      <c r="FL437" s="50"/>
      <c r="FM437" s="50"/>
      <c r="FN437" s="50"/>
      <c r="FO437" s="50"/>
      <c r="FP437" s="50"/>
      <c r="FQ437" s="50"/>
      <c r="FR437" s="50"/>
      <c r="FS437" s="50"/>
      <c r="FT437" s="50"/>
      <c r="FU437" s="50"/>
      <c r="FV437" s="50"/>
      <c r="FW437" s="50"/>
      <c r="FX437" s="50"/>
      <c r="FY437" s="50"/>
      <c r="FZ437" s="50"/>
      <c r="GA437" s="50"/>
      <c r="GB437" s="50"/>
      <c r="GC437" s="50"/>
      <c r="GD437" s="50"/>
      <c r="GE437" s="50"/>
      <c r="GF437" s="50"/>
    </row>
    <row r="438" spans="1:188">
      <c r="A438" s="147"/>
      <c r="B438" s="147"/>
      <c r="C438" s="51"/>
      <c r="D438" s="52"/>
      <c r="E438" s="47"/>
      <c r="F438" s="47"/>
      <c r="G438" s="47"/>
      <c r="H438" s="47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/>
      <c r="BT438" s="50"/>
      <c r="BU438" s="50"/>
      <c r="BV438" s="50"/>
      <c r="BW438" s="50"/>
      <c r="BX438" s="50"/>
      <c r="BY438" s="50"/>
      <c r="BZ438" s="50"/>
      <c r="CA438" s="50"/>
      <c r="CB438" s="50"/>
      <c r="CC438" s="50"/>
      <c r="CD438" s="50"/>
      <c r="CE438" s="50"/>
      <c r="CF438" s="50"/>
      <c r="CG438" s="50"/>
      <c r="CH438" s="50"/>
      <c r="CI438" s="50"/>
      <c r="CJ438" s="50"/>
      <c r="CK438" s="50"/>
      <c r="CL438" s="50"/>
      <c r="CM438" s="50"/>
      <c r="CN438" s="50"/>
      <c r="CO438" s="50"/>
      <c r="CP438" s="50"/>
      <c r="CQ438" s="50"/>
      <c r="CR438" s="50"/>
      <c r="CS438" s="50"/>
      <c r="CT438" s="50"/>
      <c r="CU438" s="50"/>
      <c r="CV438" s="50"/>
      <c r="CW438" s="50"/>
      <c r="CX438" s="50"/>
      <c r="CY438" s="50"/>
      <c r="CZ438" s="50"/>
      <c r="DA438" s="50"/>
      <c r="DB438" s="50"/>
      <c r="DC438" s="50"/>
      <c r="DD438" s="50"/>
      <c r="DE438" s="50"/>
      <c r="DF438" s="50"/>
      <c r="DG438" s="50"/>
      <c r="DH438" s="50"/>
      <c r="DI438" s="50"/>
      <c r="DJ438" s="50"/>
      <c r="DK438" s="50"/>
      <c r="DL438" s="50"/>
      <c r="DM438" s="50"/>
      <c r="DN438" s="50"/>
      <c r="DO438" s="50"/>
      <c r="DP438" s="50"/>
      <c r="DQ438" s="50"/>
      <c r="DR438" s="50"/>
      <c r="DS438" s="50"/>
      <c r="DT438" s="50"/>
      <c r="DU438" s="50"/>
      <c r="DV438" s="50"/>
      <c r="DW438" s="50"/>
      <c r="DX438" s="50"/>
      <c r="DY438" s="50"/>
      <c r="DZ438" s="50"/>
      <c r="EA438" s="50"/>
      <c r="EB438" s="50"/>
      <c r="EC438" s="50"/>
      <c r="ED438" s="50"/>
      <c r="EE438" s="50"/>
      <c r="EF438" s="50"/>
      <c r="EG438" s="50"/>
      <c r="EH438" s="50"/>
      <c r="EI438" s="50"/>
      <c r="EJ438" s="50"/>
      <c r="EK438" s="50"/>
      <c r="EL438" s="50"/>
      <c r="EM438" s="50"/>
      <c r="EN438" s="50"/>
      <c r="EO438" s="50"/>
      <c r="EP438" s="50"/>
      <c r="EQ438" s="50"/>
      <c r="ER438" s="50"/>
      <c r="ES438" s="50"/>
      <c r="ET438" s="50"/>
      <c r="EU438" s="50"/>
      <c r="EV438" s="50"/>
      <c r="EW438" s="50"/>
      <c r="EX438" s="50"/>
      <c r="EY438" s="50"/>
      <c r="EZ438" s="50"/>
      <c r="FA438" s="50"/>
      <c r="FB438" s="50"/>
      <c r="FC438" s="50"/>
      <c r="FD438" s="50"/>
      <c r="FE438" s="50"/>
      <c r="FF438" s="50"/>
      <c r="FG438" s="50"/>
      <c r="FH438" s="50"/>
      <c r="FI438" s="50"/>
      <c r="FJ438" s="50"/>
      <c r="FK438" s="50"/>
      <c r="FL438" s="50"/>
      <c r="FM438" s="50"/>
      <c r="FN438" s="50"/>
      <c r="FO438" s="50"/>
      <c r="FP438" s="50"/>
      <c r="FQ438" s="50"/>
      <c r="FR438" s="50"/>
      <c r="FS438" s="50"/>
      <c r="FT438" s="50"/>
      <c r="FU438" s="50"/>
      <c r="FV438" s="50"/>
      <c r="FW438" s="50"/>
      <c r="FX438" s="50"/>
      <c r="FY438" s="50"/>
      <c r="FZ438" s="50"/>
      <c r="GA438" s="50"/>
      <c r="GB438" s="50"/>
      <c r="GC438" s="50"/>
      <c r="GD438" s="50"/>
      <c r="GE438" s="50"/>
      <c r="GF438" s="50"/>
    </row>
    <row r="439" spans="1:188">
      <c r="A439" s="147"/>
      <c r="B439" s="147"/>
      <c r="C439" s="51"/>
      <c r="D439" s="52"/>
      <c r="E439" s="47"/>
      <c r="F439" s="47"/>
      <c r="G439" s="47"/>
      <c r="H439" s="47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/>
      <c r="BW439" s="50"/>
      <c r="BX439" s="50"/>
      <c r="BY439" s="50"/>
      <c r="BZ439" s="50"/>
      <c r="CA439" s="50"/>
      <c r="CB439" s="50"/>
      <c r="CC439" s="50"/>
      <c r="CD439" s="50"/>
      <c r="CE439" s="50"/>
      <c r="CF439" s="50"/>
      <c r="CG439" s="50"/>
      <c r="CH439" s="50"/>
      <c r="CI439" s="50"/>
      <c r="CJ439" s="50"/>
      <c r="CK439" s="50"/>
      <c r="CL439" s="50"/>
      <c r="CM439" s="50"/>
      <c r="CN439" s="50"/>
      <c r="CO439" s="50"/>
      <c r="CP439" s="50"/>
      <c r="CQ439" s="50"/>
      <c r="CR439" s="50"/>
      <c r="CS439" s="50"/>
      <c r="CT439" s="50"/>
      <c r="CU439" s="50"/>
      <c r="CV439" s="50"/>
      <c r="CW439" s="50"/>
      <c r="CX439" s="50"/>
      <c r="CY439" s="50"/>
      <c r="CZ439" s="50"/>
      <c r="DA439" s="50"/>
      <c r="DB439" s="50"/>
      <c r="DC439" s="50"/>
      <c r="DD439" s="50"/>
      <c r="DE439" s="50"/>
      <c r="DF439" s="50"/>
      <c r="DG439" s="50"/>
      <c r="DH439" s="50"/>
      <c r="DI439" s="50"/>
      <c r="DJ439" s="50"/>
      <c r="DK439" s="50"/>
      <c r="DL439" s="50"/>
      <c r="DM439" s="50"/>
      <c r="DN439" s="50"/>
      <c r="DO439" s="50"/>
      <c r="DP439" s="50"/>
      <c r="DQ439" s="50"/>
      <c r="DR439" s="50"/>
      <c r="DS439" s="50"/>
      <c r="DT439" s="50"/>
      <c r="DU439" s="50"/>
      <c r="DV439" s="50"/>
      <c r="DW439" s="50"/>
      <c r="DX439" s="50"/>
      <c r="DY439" s="50"/>
      <c r="DZ439" s="50"/>
      <c r="EA439" s="50"/>
      <c r="EB439" s="50"/>
      <c r="EC439" s="50"/>
      <c r="ED439" s="50"/>
      <c r="EE439" s="50"/>
      <c r="EF439" s="50"/>
      <c r="EG439" s="50"/>
      <c r="EH439" s="50"/>
      <c r="EI439" s="50"/>
      <c r="EJ439" s="50"/>
      <c r="EK439" s="50"/>
      <c r="EL439" s="50"/>
      <c r="EM439" s="50"/>
      <c r="EN439" s="50"/>
      <c r="EO439" s="50"/>
      <c r="EP439" s="50"/>
      <c r="EQ439" s="50"/>
      <c r="ER439" s="50"/>
      <c r="ES439" s="50"/>
      <c r="ET439" s="50"/>
      <c r="EU439" s="50"/>
      <c r="EV439" s="50"/>
      <c r="EW439" s="50"/>
      <c r="EX439" s="50"/>
      <c r="EY439" s="50"/>
      <c r="EZ439" s="50"/>
      <c r="FA439" s="50"/>
      <c r="FB439" s="50"/>
      <c r="FC439" s="50"/>
      <c r="FD439" s="50"/>
      <c r="FE439" s="50"/>
      <c r="FF439" s="50"/>
      <c r="FG439" s="50"/>
      <c r="FH439" s="50"/>
      <c r="FI439" s="50"/>
      <c r="FJ439" s="50"/>
      <c r="FK439" s="50"/>
      <c r="FL439" s="50"/>
      <c r="FM439" s="50"/>
      <c r="FN439" s="50"/>
      <c r="FO439" s="50"/>
      <c r="FP439" s="50"/>
      <c r="FQ439" s="50"/>
      <c r="FR439" s="50"/>
      <c r="FS439" s="50"/>
      <c r="FT439" s="50"/>
      <c r="FU439" s="50"/>
      <c r="FV439" s="50"/>
      <c r="FW439" s="50"/>
      <c r="FX439" s="50"/>
      <c r="FY439" s="50"/>
      <c r="FZ439" s="50"/>
      <c r="GA439" s="50"/>
      <c r="GB439" s="50"/>
      <c r="GC439" s="50"/>
      <c r="GD439" s="50"/>
      <c r="GE439" s="50"/>
      <c r="GF439" s="50"/>
    </row>
    <row r="440" spans="1:188">
      <c r="A440" s="147"/>
      <c r="B440" s="147"/>
      <c r="C440" s="51"/>
      <c r="D440" s="52"/>
      <c r="E440" s="47"/>
      <c r="F440" s="47"/>
      <c r="G440" s="47"/>
      <c r="H440" s="47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/>
      <c r="BW440" s="50"/>
      <c r="BX440" s="50"/>
      <c r="BY440" s="50"/>
      <c r="BZ440" s="50"/>
      <c r="CA440" s="50"/>
      <c r="CB440" s="50"/>
      <c r="CC440" s="50"/>
      <c r="CD440" s="50"/>
      <c r="CE440" s="50"/>
      <c r="CF440" s="50"/>
      <c r="CG440" s="50"/>
      <c r="CH440" s="50"/>
      <c r="CI440" s="50"/>
      <c r="CJ440" s="50"/>
      <c r="CK440" s="50"/>
      <c r="CL440" s="50"/>
      <c r="CM440" s="50"/>
      <c r="CN440" s="50"/>
      <c r="CO440" s="50"/>
      <c r="CP440" s="50"/>
      <c r="CQ440" s="50"/>
      <c r="CR440" s="50"/>
      <c r="CS440" s="50"/>
      <c r="CT440" s="50"/>
      <c r="CU440" s="50"/>
      <c r="CV440" s="50"/>
      <c r="CW440" s="50"/>
      <c r="CX440" s="50"/>
      <c r="CY440" s="50"/>
      <c r="CZ440" s="50"/>
      <c r="DA440" s="50"/>
      <c r="DB440" s="50"/>
      <c r="DC440" s="50"/>
      <c r="DD440" s="50"/>
      <c r="DE440" s="50"/>
      <c r="DF440" s="50"/>
      <c r="DG440" s="50"/>
      <c r="DH440" s="50"/>
      <c r="DI440" s="50"/>
      <c r="DJ440" s="50"/>
      <c r="DK440" s="50"/>
      <c r="DL440" s="50"/>
      <c r="DM440" s="50"/>
      <c r="DN440" s="50"/>
      <c r="DO440" s="50"/>
      <c r="DP440" s="50"/>
      <c r="DQ440" s="50"/>
      <c r="DR440" s="50"/>
      <c r="DS440" s="50"/>
      <c r="DT440" s="50"/>
      <c r="DU440" s="50"/>
      <c r="DV440" s="50"/>
      <c r="DW440" s="50"/>
      <c r="DX440" s="50"/>
      <c r="DY440" s="50"/>
      <c r="DZ440" s="50"/>
      <c r="EA440" s="50"/>
      <c r="EB440" s="50"/>
      <c r="EC440" s="50"/>
      <c r="ED440" s="50"/>
      <c r="EE440" s="50"/>
      <c r="EF440" s="50"/>
      <c r="EG440" s="50"/>
      <c r="EH440" s="50"/>
      <c r="EI440" s="50"/>
      <c r="EJ440" s="50"/>
      <c r="EK440" s="50"/>
      <c r="EL440" s="50"/>
      <c r="EM440" s="50"/>
      <c r="EN440" s="50"/>
      <c r="EO440" s="50"/>
      <c r="EP440" s="50"/>
      <c r="EQ440" s="50"/>
      <c r="ER440" s="50"/>
      <c r="ES440" s="50"/>
      <c r="ET440" s="50"/>
      <c r="EU440" s="50"/>
      <c r="EV440" s="50"/>
      <c r="EW440" s="50"/>
      <c r="EX440" s="50"/>
      <c r="EY440" s="50"/>
      <c r="EZ440" s="50"/>
      <c r="FA440" s="50"/>
      <c r="FB440" s="50"/>
      <c r="FC440" s="50"/>
      <c r="FD440" s="50"/>
      <c r="FE440" s="50"/>
      <c r="FF440" s="50"/>
      <c r="FG440" s="50"/>
      <c r="FH440" s="50"/>
      <c r="FI440" s="50"/>
      <c r="FJ440" s="50"/>
      <c r="FK440" s="50"/>
      <c r="FL440" s="50"/>
      <c r="FM440" s="50"/>
      <c r="FN440" s="50"/>
      <c r="FO440" s="50"/>
      <c r="FP440" s="50"/>
      <c r="FQ440" s="50"/>
      <c r="FR440" s="50"/>
      <c r="FS440" s="50"/>
      <c r="FT440" s="50"/>
      <c r="FU440" s="50"/>
      <c r="FV440" s="50"/>
      <c r="FW440" s="50"/>
      <c r="FX440" s="50"/>
      <c r="FY440" s="50"/>
      <c r="FZ440" s="50"/>
      <c r="GA440" s="50"/>
      <c r="GB440" s="50"/>
      <c r="GC440" s="50"/>
      <c r="GD440" s="50"/>
      <c r="GE440" s="50"/>
      <c r="GF440" s="50"/>
    </row>
    <row r="441" spans="1:188">
      <c r="A441" s="147"/>
      <c r="B441" s="147"/>
      <c r="C441" s="51"/>
      <c r="D441" s="52"/>
      <c r="E441" s="47"/>
      <c r="F441" s="47"/>
      <c r="G441" s="47"/>
      <c r="H441" s="47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/>
      <c r="CZ441" s="50"/>
      <c r="DA441" s="50"/>
      <c r="DB441" s="50"/>
      <c r="DC441" s="50"/>
      <c r="DD441" s="50"/>
      <c r="DE441" s="50"/>
      <c r="DF441" s="50"/>
      <c r="DG441" s="50"/>
      <c r="DH441" s="50"/>
      <c r="DI441" s="50"/>
      <c r="DJ441" s="50"/>
      <c r="DK441" s="50"/>
      <c r="DL441" s="50"/>
      <c r="DM441" s="50"/>
      <c r="DN441" s="50"/>
      <c r="DO441" s="50"/>
      <c r="DP441" s="50"/>
      <c r="DQ441" s="50"/>
      <c r="DR441" s="50"/>
      <c r="DS441" s="50"/>
      <c r="DT441" s="50"/>
      <c r="DU441" s="50"/>
      <c r="DV441" s="50"/>
      <c r="DW441" s="50"/>
      <c r="DX441" s="50"/>
      <c r="DY441" s="50"/>
      <c r="DZ441" s="50"/>
      <c r="EA441" s="50"/>
      <c r="EB441" s="50"/>
      <c r="EC441" s="50"/>
      <c r="ED441" s="50"/>
      <c r="EE441" s="50"/>
      <c r="EF441" s="50"/>
      <c r="EG441" s="50"/>
      <c r="EH441" s="50"/>
      <c r="EI441" s="50"/>
      <c r="EJ441" s="50"/>
      <c r="EK441" s="50"/>
      <c r="EL441" s="50"/>
      <c r="EM441" s="50"/>
      <c r="EN441" s="50"/>
      <c r="EO441" s="50"/>
      <c r="EP441" s="50"/>
      <c r="EQ441" s="50"/>
      <c r="ER441" s="50"/>
      <c r="ES441" s="50"/>
      <c r="ET441" s="50"/>
      <c r="EU441" s="50"/>
      <c r="EV441" s="50"/>
      <c r="EW441" s="50"/>
      <c r="EX441" s="50"/>
      <c r="EY441" s="50"/>
      <c r="EZ441" s="50"/>
      <c r="FA441" s="50"/>
      <c r="FB441" s="50"/>
      <c r="FC441" s="50"/>
      <c r="FD441" s="50"/>
      <c r="FE441" s="50"/>
      <c r="FF441" s="50"/>
      <c r="FG441" s="50"/>
      <c r="FH441" s="50"/>
      <c r="FI441" s="50"/>
      <c r="FJ441" s="50"/>
      <c r="FK441" s="50"/>
      <c r="FL441" s="50"/>
      <c r="FM441" s="50"/>
      <c r="FN441" s="50"/>
      <c r="FO441" s="50"/>
      <c r="FP441" s="50"/>
      <c r="FQ441" s="50"/>
      <c r="FR441" s="50"/>
      <c r="FS441" s="50"/>
      <c r="FT441" s="50"/>
      <c r="FU441" s="50"/>
      <c r="FV441" s="50"/>
      <c r="FW441" s="50"/>
      <c r="FX441" s="50"/>
      <c r="FY441" s="50"/>
      <c r="FZ441" s="50"/>
      <c r="GA441" s="50"/>
      <c r="GB441" s="50"/>
      <c r="GC441" s="50"/>
      <c r="GD441" s="50"/>
      <c r="GE441" s="50"/>
      <c r="GF441" s="50"/>
    </row>
    <row r="442" spans="1:188">
      <c r="A442" s="147"/>
      <c r="B442" s="147"/>
      <c r="C442" s="51"/>
      <c r="D442" s="52"/>
      <c r="E442" s="47"/>
      <c r="F442" s="47"/>
      <c r="G442" s="47"/>
      <c r="H442" s="47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0"/>
      <c r="BR442" s="50"/>
      <c r="BS442" s="50"/>
      <c r="BT442" s="50"/>
      <c r="BU442" s="50"/>
      <c r="BV442" s="50"/>
      <c r="BW442" s="50"/>
      <c r="BX442" s="50"/>
      <c r="BY442" s="50"/>
      <c r="BZ442" s="50"/>
      <c r="CA442" s="50"/>
      <c r="CB442" s="50"/>
      <c r="CC442" s="50"/>
      <c r="CD442" s="50"/>
      <c r="CE442" s="50"/>
      <c r="CF442" s="50"/>
      <c r="CG442" s="50"/>
      <c r="CH442" s="50"/>
      <c r="CI442" s="50"/>
      <c r="CJ442" s="50"/>
      <c r="CK442" s="50"/>
      <c r="CL442" s="50"/>
      <c r="CM442" s="50"/>
      <c r="CN442" s="50"/>
      <c r="CO442" s="50"/>
      <c r="CP442" s="50"/>
      <c r="CQ442" s="50"/>
      <c r="CR442" s="50"/>
      <c r="CS442" s="50"/>
      <c r="CT442" s="50"/>
      <c r="CU442" s="50"/>
      <c r="CV442" s="50"/>
      <c r="CW442" s="50"/>
      <c r="CX442" s="50"/>
      <c r="CY442" s="50"/>
      <c r="CZ442" s="50"/>
      <c r="DA442" s="50"/>
      <c r="DB442" s="50"/>
      <c r="DC442" s="50"/>
      <c r="DD442" s="50"/>
      <c r="DE442" s="50"/>
      <c r="DF442" s="50"/>
      <c r="DG442" s="50"/>
      <c r="DH442" s="50"/>
      <c r="DI442" s="50"/>
      <c r="DJ442" s="50"/>
      <c r="DK442" s="50"/>
      <c r="DL442" s="50"/>
      <c r="DM442" s="50"/>
      <c r="DN442" s="50"/>
      <c r="DO442" s="50"/>
      <c r="DP442" s="50"/>
      <c r="DQ442" s="50"/>
      <c r="DR442" s="50"/>
      <c r="DS442" s="50"/>
      <c r="DT442" s="50"/>
      <c r="DU442" s="50"/>
      <c r="DV442" s="50"/>
      <c r="DW442" s="50"/>
      <c r="DX442" s="50"/>
      <c r="DY442" s="50"/>
      <c r="DZ442" s="50"/>
      <c r="EA442" s="50"/>
      <c r="EB442" s="50"/>
      <c r="EC442" s="50"/>
      <c r="ED442" s="50"/>
      <c r="EE442" s="50"/>
      <c r="EF442" s="50"/>
      <c r="EG442" s="50"/>
      <c r="EH442" s="50"/>
      <c r="EI442" s="50"/>
      <c r="EJ442" s="50"/>
      <c r="EK442" s="50"/>
      <c r="EL442" s="50"/>
      <c r="EM442" s="50"/>
      <c r="EN442" s="50"/>
      <c r="EO442" s="50"/>
      <c r="EP442" s="50"/>
      <c r="EQ442" s="50"/>
      <c r="ER442" s="50"/>
      <c r="ES442" s="50"/>
      <c r="ET442" s="50"/>
      <c r="EU442" s="50"/>
      <c r="EV442" s="50"/>
      <c r="EW442" s="50"/>
      <c r="EX442" s="50"/>
      <c r="EY442" s="50"/>
      <c r="EZ442" s="50"/>
      <c r="FA442" s="50"/>
      <c r="FB442" s="50"/>
      <c r="FC442" s="50"/>
      <c r="FD442" s="50"/>
      <c r="FE442" s="50"/>
      <c r="FF442" s="50"/>
      <c r="FG442" s="50"/>
      <c r="FH442" s="50"/>
      <c r="FI442" s="50"/>
      <c r="FJ442" s="50"/>
      <c r="FK442" s="50"/>
      <c r="FL442" s="50"/>
      <c r="FM442" s="50"/>
      <c r="FN442" s="50"/>
      <c r="FO442" s="50"/>
      <c r="FP442" s="50"/>
      <c r="FQ442" s="50"/>
      <c r="FR442" s="50"/>
      <c r="FS442" s="50"/>
      <c r="FT442" s="50"/>
      <c r="FU442" s="50"/>
      <c r="FV442" s="50"/>
      <c r="FW442" s="50"/>
      <c r="FX442" s="50"/>
      <c r="FY442" s="50"/>
      <c r="FZ442" s="50"/>
      <c r="GA442" s="50"/>
      <c r="GB442" s="50"/>
      <c r="GC442" s="50"/>
      <c r="GD442" s="50"/>
      <c r="GE442" s="50"/>
      <c r="GF442" s="50"/>
    </row>
    <row r="443" spans="1:188">
      <c r="A443" s="147"/>
      <c r="B443" s="147"/>
      <c r="C443" s="51"/>
      <c r="D443" s="52"/>
      <c r="E443" s="47"/>
      <c r="F443" s="47"/>
      <c r="G443" s="47"/>
      <c r="H443" s="47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/>
      <c r="BW443" s="50"/>
      <c r="BX443" s="50"/>
      <c r="BY443" s="50"/>
      <c r="BZ443" s="50"/>
      <c r="CA443" s="50"/>
      <c r="CB443" s="50"/>
      <c r="CC443" s="50"/>
      <c r="CD443" s="50"/>
      <c r="CE443" s="50"/>
      <c r="CF443" s="50"/>
      <c r="CG443" s="50"/>
      <c r="CH443" s="50"/>
      <c r="CI443" s="50"/>
      <c r="CJ443" s="50"/>
      <c r="CK443" s="50"/>
      <c r="CL443" s="50"/>
      <c r="CM443" s="50"/>
      <c r="CN443" s="50"/>
      <c r="CO443" s="50"/>
      <c r="CP443" s="50"/>
      <c r="CQ443" s="50"/>
      <c r="CR443" s="50"/>
      <c r="CS443" s="50"/>
      <c r="CT443" s="50"/>
      <c r="CU443" s="50"/>
      <c r="CV443" s="50"/>
      <c r="CW443" s="50"/>
      <c r="CX443" s="50"/>
      <c r="CY443" s="50"/>
      <c r="CZ443" s="50"/>
      <c r="DA443" s="50"/>
      <c r="DB443" s="50"/>
      <c r="DC443" s="50"/>
      <c r="DD443" s="50"/>
      <c r="DE443" s="50"/>
      <c r="DF443" s="50"/>
      <c r="DG443" s="50"/>
      <c r="DH443" s="50"/>
      <c r="DI443" s="50"/>
      <c r="DJ443" s="50"/>
      <c r="DK443" s="50"/>
      <c r="DL443" s="50"/>
      <c r="DM443" s="50"/>
      <c r="DN443" s="50"/>
      <c r="DO443" s="50"/>
      <c r="DP443" s="50"/>
      <c r="DQ443" s="50"/>
      <c r="DR443" s="50"/>
      <c r="DS443" s="50"/>
      <c r="DT443" s="50"/>
      <c r="DU443" s="50"/>
      <c r="DV443" s="50"/>
      <c r="DW443" s="50"/>
      <c r="DX443" s="50"/>
      <c r="DY443" s="50"/>
      <c r="DZ443" s="50"/>
      <c r="EA443" s="50"/>
      <c r="EB443" s="50"/>
      <c r="EC443" s="50"/>
      <c r="ED443" s="50"/>
      <c r="EE443" s="50"/>
      <c r="EF443" s="50"/>
      <c r="EG443" s="50"/>
      <c r="EH443" s="50"/>
      <c r="EI443" s="50"/>
      <c r="EJ443" s="50"/>
      <c r="EK443" s="50"/>
      <c r="EL443" s="50"/>
      <c r="EM443" s="50"/>
      <c r="EN443" s="50"/>
      <c r="EO443" s="50"/>
      <c r="EP443" s="50"/>
      <c r="EQ443" s="50"/>
      <c r="ER443" s="50"/>
      <c r="ES443" s="50"/>
      <c r="ET443" s="50"/>
      <c r="EU443" s="50"/>
      <c r="EV443" s="50"/>
      <c r="EW443" s="50"/>
      <c r="EX443" s="50"/>
      <c r="EY443" s="50"/>
      <c r="EZ443" s="50"/>
      <c r="FA443" s="50"/>
      <c r="FB443" s="50"/>
      <c r="FC443" s="50"/>
      <c r="FD443" s="50"/>
      <c r="FE443" s="50"/>
      <c r="FF443" s="50"/>
      <c r="FG443" s="50"/>
      <c r="FH443" s="50"/>
      <c r="FI443" s="50"/>
      <c r="FJ443" s="50"/>
      <c r="FK443" s="50"/>
      <c r="FL443" s="50"/>
      <c r="FM443" s="50"/>
      <c r="FN443" s="50"/>
      <c r="FO443" s="50"/>
      <c r="FP443" s="50"/>
      <c r="FQ443" s="50"/>
      <c r="FR443" s="50"/>
      <c r="FS443" s="50"/>
      <c r="FT443" s="50"/>
      <c r="FU443" s="50"/>
      <c r="FV443" s="50"/>
      <c r="FW443" s="50"/>
      <c r="FX443" s="50"/>
      <c r="FY443" s="50"/>
      <c r="FZ443" s="50"/>
      <c r="GA443" s="50"/>
      <c r="GB443" s="50"/>
      <c r="GC443" s="50"/>
      <c r="GD443" s="50"/>
      <c r="GE443" s="50"/>
      <c r="GF443" s="50"/>
    </row>
    <row r="444" spans="1:188">
      <c r="A444" s="147"/>
      <c r="B444" s="147"/>
      <c r="C444" s="51"/>
      <c r="D444" s="52"/>
      <c r="E444" s="47"/>
      <c r="F444" s="47"/>
      <c r="G444" s="47"/>
      <c r="H444" s="47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/>
      <c r="BT444" s="50"/>
      <c r="BU444" s="50"/>
      <c r="BV444" s="50"/>
      <c r="BW444" s="50"/>
      <c r="BX444" s="50"/>
      <c r="BY444" s="50"/>
      <c r="BZ444" s="50"/>
      <c r="CA444" s="50"/>
      <c r="CB444" s="50"/>
      <c r="CC444" s="50"/>
      <c r="CD444" s="50"/>
      <c r="CE444" s="50"/>
      <c r="CF444" s="50"/>
      <c r="CG444" s="50"/>
      <c r="CH444" s="50"/>
      <c r="CI444" s="50"/>
      <c r="CJ444" s="50"/>
      <c r="CK444" s="50"/>
      <c r="CL444" s="50"/>
      <c r="CM444" s="50"/>
      <c r="CN444" s="50"/>
      <c r="CO444" s="50"/>
      <c r="CP444" s="50"/>
      <c r="CQ444" s="50"/>
      <c r="CR444" s="50"/>
      <c r="CS444" s="50"/>
      <c r="CT444" s="50"/>
      <c r="CU444" s="50"/>
      <c r="CV444" s="50"/>
      <c r="CW444" s="50"/>
      <c r="CX444" s="50"/>
      <c r="CY444" s="50"/>
      <c r="CZ444" s="50"/>
      <c r="DA444" s="50"/>
      <c r="DB444" s="50"/>
      <c r="DC444" s="50"/>
      <c r="DD444" s="50"/>
      <c r="DE444" s="50"/>
      <c r="DF444" s="50"/>
      <c r="DG444" s="50"/>
      <c r="DH444" s="50"/>
      <c r="DI444" s="50"/>
      <c r="DJ444" s="50"/>
      <c r="DK444" s="50"/>
      <c r="DL444" s="50"/>
      <c r="DM444" s="50"/>
      <c r="DN444" s="50"/>
      <c r="DO444" s="50"/>
      <c r="DP444" s="50"/>
      <c r="DQ444" s="50"/>
      <c r="DR444" s="50"/>
      <c r="DS444" s="50"/>
      <c r="DT444" s="50"/>
      <c r="DU444" s="50"/>
      <c r="DV444" s="50"/>
      <c r="DW444" s="50"/>
      <c r="DX444" s="50"/>
      <c r="DY444" s="50"/>
      <c r="DZ444" s="50"/>
      <c r="EA444" s="50"/>
      <c r="EB444" s="50"/>
      <c r="EC444" s="50"/>
      <c r="ED444" s="50"/>
      <c r="EE444" s="50"/>
      <c r="EF444" s="50"/>
      <c r="EG444" s="50"/>
      <c r="EH444" s="50"/>
      <c r="EI444" s="50"/>
      <c r="EJ444" s="50"/>
      <c r="EK444" s="50"/>
      <c r="EL444" s="50"/>
      <c r="EM444" s="50"/>
      <c r="EN444" s="50"/>
      <c r="EO444" s="50"/>
      <c r="EP444" s="50"/>
      <c r="EQ444" s="50"/>
      <c r="ER444" s="50"/>
      <c r="ES444" s="50"/>
      <c r="ET444" s="50"/>
      <c r="EU444" s="50"/>
      <c r="EV444" s="50"/>
      <c r="EW444" s="50"/>
      <c r="EX444" s="50"/>
      <c r="EY444" s="50"/>
      <c r="EZ444" s="50"/>
      <c r="FA444" s="50"/>
      <c r="FB444" s="50"/>
      <c r="FC444" s="50"/>
      <c r="FD444" s="50"/>
      <c r="FE444" s="50"/>
      <c r="FF444" s="50"/>
      <c r="FG444" s="50"/>
      <c r="FH444" s="50"/>
      <c r="FI444" s="50"/>
      <c r="FJ444" s="50"/>
      <c r="FK444" s="50"/>
      <c r="FL444" s="50"/>
      <c r="FM444" s="50"/>
      <c r="FN444" s="50"/>
      <c r="FO444" s="50"/>
      <c r="FP444" s="50"/>
      <c r="FQ444" s="50"/>
      <c r="FR444" s="50"/>
      <c r="FS444" s="50"/>
      <c r="FT444" s="50"/>
      <c r="FU444" s="50"/>
      <c r="FV444" s="50"/>
      <c r="FW444" s="50"/>
      <c r="FX444" s="50"/>
      <c r="FY444" s="50"/>
      <c r="FZ444" s="50"/>
      <c r="GA444" s="50"/>
      <c r="GB444" s="50"/>
      <c r="GC444" s="50"/>
      <c r="GD444" s="50"/>
      <c r="GE444" s="50"/>
      <c r="GF444" s="50"/>
    </row>
    <row r="445" spans="1:188">
      <c r="A445" s="147"/>
      <c r="B445" s="147"/>
      <c r="C445" s="51"/>
      <c r="D445" s="52"/>
      <c r="E445" s="47"/>
      <c r="F445" s="47"/>
      <c r="G445" s="47"/>
      <c r="H445" s="47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  <c r="CE445" s="50"/>
      <c r="CF445" s="50"/>
      <c r="CG445" s="50"/>
      <c r="CH445" s="50"/>
      <c r="CI445" s="50"/>
      <c r="CJ445" s="50"/>
      <c r="CK445" s="50"/>
      <c r="CL445" s="50"/>
      <c r="CM445" s="50"/>
      <c r="CN445" s="50"/>
      <c r="CO445" s="50"/>
      <c r="CP445" s="50"/>
      <c r="CQ445" s="50"/>
      <c r="CR445" s="50"/>
      <c r="CS445" s="50"/>
      <c r="CT445" s="50"/>
      <c r="CU445" s="50"/>
      <c r="CV445" s="50"/>
      <c r="CW445" s="50"/>
      <c r="CX445" s="50"/>
      <c r="CY445" s="50"/>
      <c r="CZ445" s="50"/>
      <c r="DA445" s="50"/>
      <c r="DB445" s="50"/>
      <c r="DC445" s="50"/>
      <c r="DD445" s="50"/>
      <c r="DE445" s="50"/>
      <c r="DF445" s="50"/>
      <c r="DG445" s="50"/>
      <c r="DH445" s="50"/>
      <c r="DI445" s="50"/>
      <c r="DJ445" s="50"/>
      <c r="DK445" s="50"/>
      <c r="DL445" s="50"/>
      <c r="DM445" s="50"/>
      <c r="DN445" s="50"/>
      <c r="DO445" s="50"/>
      <c r="DP445" s="50"/>
      <c r="DQ445" s="50"/>
      <c r="DR445" s="50"/>
      <c r="DS445" s="50"/>
      <c r="DT445" s="50"/>
      <c r="DU445" s="50"/>
      <c r="DV445" s="50"/>
      <c r="DW445" s="50"/>
      <c r="DX445" s="50"/>
      <c r="DY445" s="50"/>
      <c r="DZ445" s="50"/>
      <c r="EA445" s="50"/>
      <c r="EB445" s="50"/>
      <c r="EC445" s="50"/>
      <c r="ED445" s="50"/>
      <c r="EE445" s="50"/>
      <c r="EF445" s="50"/>
      <c r="EG445" s="50"/>
      <c r="EH445" s="50"/>
      <c r="EI445" s="50"/>
      <c r="EJ445" s="50"/>
      <c r="EK445" s="50"/>
      <c r="EL445" s="50"/>
      <c r="EM445" s="50"/>
      <c r="EN445" s="50"/>
      <c r="EO445" s="50"/>
      <c r="EP445" s="50"/>
      <c r="EQ445" s="50"/>
      <c r="ER445" s="50"/>
      <c r="ES445" s="50"/>
      <c r="ET445" s="50"/>
      <c r="EU445" s="50"/>
      <c r="EV445" s="50"/>
      <c r="EW445" s="50"/>
      <c r="EX445" s="50"/>
      <c r="EY445" s="50"/>
      <c r="EZ445" s="50"/>
      <c r="FA445" s="50"/>
      <c r="FB445" s="50"/>
      <c r="FC445" s="50"/>
      <c r="FD445" s="50"/>
      <c r="FE445" s="50"/>
      <c r="FF445" s="50"/>
      <c r="FG445" s="50"/>
      <c r="FH445" s="50"/>
      <c r="FI445" s="50"/>
      <c r="FJ445" s="50"/>
      <c r="FK445" s="50"/>
      <c r="FL445" s="50"/>
      <c r="FM445" s="50"/>
      <c r="FN445" s="50"/>
      <c r="FO445" s="50"/>
      <c r="FP445" s="50"/>
      <c r="FQ445" s="50"/>
      <c r="FR445" s="50"/>
      <c r="FS445" s="50"/>
      <c r="FT445" s="50"/>
      <c r="FU445" s="50"/>
      <c r="FV445" s="50"/>
      <c r="FW445" s="50"/>
      <c r="FX445" s="50"/>
      <c r="FY445" s="50"/>
      <c r="FZ445" s="50"/>
      <c r="GA445" s="50"/>
      <c r="GB445" s="50"/>
      <c r="GC445" s="50"/>
      <c r="GD445" s="50"/>
      <c r="GE445" s="50"/>
      <c r="GF445" s="50"/>
    </row>
    <row r="446" spans="1:188">
      <c r="A446" s="147"/>
      <c r="B446" s="147"/>
      <c r="C446" s="51"/>
      <c r="D446" s="52"/>
      <c r="E446" s="47"/>
      <c r="F446" s="47"/>
      <c r="G446" s="47"/>
      <c r="H446" s="47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  <c r="CR446" s="50"/>
      <c r="CS446" s="50"/>
      <c r="CT446" s="50"/>
      <c r="CU446" s="50"/>
      <c r="CV446" s="50"/>
      <c r="CW446" s="50"/>
      <c r="CX446" s="50"/>
      <c r="CY446" s="50"/>
      <c r="CZ446" s="50"/>
      <c r="DA446" s="50"/>
      <c r="DB446" s="50"/>
      <c r="DC446" s="50"/>
      <c r="DD446" s="50"/>
      <c r="DE446" s="50"/>
      <c r="DF446" s="50"/>
      <c r="DG446" s="50"/>
      <c r="DH446" s="50"/>
      <c r="DI446" s="50"/>
      <c r="DJ446" s="50"/>
      <c r="DK446" s="50"/>
      <c r="DL446" s="50"/>
      <c r="DM446" s="50"/>
      <c r="DN446" s="50"/>
      <c r="DO446" s="50"/>
      <c r="DP446" s="50"/>
      <c r="DQ446" s="50"/>
      <c r="DR446" s="50"/>
      <c r="DS446" s="50"/>
      <c r="DT446" s="50"/>
      <c r="DU446" s="50"/>
      <c r="DV446" s="50"/>
      <c r="DW446" s="50"/>
      <c r="DX446" s="50"/>
      <c r="DY446" s="50"/>
      <c r="DZ446" s="50"/>
      <c r="EA446" s="50"/>
      <c r="EB446" s="50"/>
      <c r="EC446" s="50"/>
      <c r="ED446" s="50"/>
      <c r="EE446" s="50"/>
      <c r="EF446" s="50"/>
      <c r="EG446" s="50"/>
      <c r="EH446" s="50"/>
      <c r="EI446" s="50"/>
      <c r="EJ446" s="50"/>
      <c r="EK446" s="50"/>
      <c r="EL446" s="50"/>
      <c r="EM446" s="50"/>
      <c r="EN446" s="50"/>
      <c r="EO446" s="50"/>
      <c r="EP446" s="50"/>
      <c r="EQ446" s="50"/>
      <c r="ER446" s="50"/>
      <c r="ES446" s="50"/>
      <c r="ET446" s="50"/>
      <c r="EU446" s="50"/>
      <c r="EV446" s="50"/>
      <c r="EW446" s="50"/>
      <c r="EX446" s="50"/>
      <c r="EY446" s="50"/>
      <c r="EZ446" s="50"/>
      <c r="FA446" s="50"/>
      <c r="FB446" s="50"/>
      <c r="FC446" s="50"/>
      <c r="FD446" s="50"/>
      <c r="FE446" s="50"/>
      <c r="FF446" s="50"/>
      <c r="FG446" s="50"/>
      <c r="FH446" s="50"/>
      <c r="FI446" s="50"/>
      <c r="FJ446" s="50"/>
      <c r="FK446" s="50"/>
      <c r="FL446" s="50"/>
      <c r="FM446" s="50"/>
      <c r="FN446" s="50"/>
      <c r="FO446" s="50"/>
      <c r="FP446" s="50"/>
      <c r="FQ446" s="50"/>
      <c r="FR446" s="50"/>
      <c r="FS446" s="50"/>
      <c r="FT446" s="50"/>
      <c r="FU446" s="50"/>
      <c r="FV446" s="50"/>
      <c r="FW446" s="50"/>
      <c r="FX446" s="50"/>
      <c r="FY446" s="50"/>
      <c r="FZ446" s="50"/>
      <c r="GA446" s="50"/>
      <c r="GB446" s="50"/>
      <c r="GC446" s="50"/>
      <c r="GD446" s="50"/>
      <c r="GE446" s="50"/>
      <c r="GF446" s="50"/>
    </row>
    <row r="447" spans="1:188">
      <c r="A447" s="147"/>
      <c r="B447" s="147"/>
      <c r="C447" s="51"/>
      <c r="D447" s="52"/>
      <c r="E447" s="47"/>
      <c r="F447" s="47"/>
      <c r="G447" s="47"/>
      <c r="H447" s="47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0"/>
      <c r="BR447" s="50"/>
      <c r="BS447" s="50"/>
      <c r="BT447" s="50"/>
      <c r="BU447" s="50"/>
      <c r="BV447" s="50"/>
      <c r="BW447" s="50"/>
      <c r="BX447" s="50"/>
      <c r="BY447" s="50"/>
      <c r="BZ447" s="50"/>
      <c r="CA447" s="50"/>
      <c r="CB447" s="50"/>
      <c r="CC447" s="50"/>
      <c r="CD447" s="50"/>
      <c r="CE447" s="50"/>
      <c r="CF447" s="50"/>
      <c r="CG447" s="50"/>
      <c r="CH447" s="50"/>
      <c r="CI447" s="50"/>
      <c r="CJ447" s="50"/>
      <c r="CK447" s="50"/>
      <c r="CL447" s="50"/>
      <c r="CM447" s="50"/>
      <c r="CN447" s="50"/>
      <c r="CO447" s="50"/>
      <c r="CP447" s="50"/>
      <c r="CQ447" s="50"/>
      <c r="CR447" s="50"/>
      <c r="CS447" s="50"/>
      <c r="CT447" s="50"/>
      <c r="CU447" s="50"/>
      <c r="CV447" s="50"/>
      <c r="CW447" s="50"/>
      <c r="CX447" s="50"/>
      <c r="CY447" s="50"/>
      <c r="CZ447" s="50"/>
      <c r="DA447" s="50"/>
      <c r="DB447" s="50"/>
      <c r="DC447" s="50"/>
      <c r="DD447" s="50"/>
      <c r="DE447" s="50"/>
      <c r="DF447" s="50"/>
      <c r="DG447" s="50"/>
      <c r="DH447" s="50"/>
      <c r="DI447" s="50"/>
      <c r="DJ447" s="50"/>
      <c r="DK447" s="50"/>
      <c r="DL447" s="50"/>
      <c r="DM447" s="50"/>
      <c r="DN447" s="50"/>
      <c r="DO447" s="50"/>
      <c r="DP447" s="50"/>
      <c r="DQ447" s="50"/>
      <c r="DR447" s="50"/>
      <c r="DS447" s="50"/>
      <c r="DT447" s="50"/>
      <c r="DU447" s="50"/>
      <c r="DV447" s="50"/>
      <c r="DW447" s="50"/>
      <c r="DX447" s="50"/>
      <c r="DY447" s="50"/>
      <c r="DZ447" s="50"/>
      <c r="EA447" s="50"/>
      <c r="EB447" s="50"/>
      <c r="EC447" s="50"/>
      <c r="ED447" s="50"/>
      <c r="EE447" s="50"/>
      <c r="EF447" s="50"/>
      <c r="EG447" s="50"/>
      <c r="EH447" s="50"/>
      <c r="EI447" s="50"/>
      <c r="EJ447" s="50"/>
      <c r="EK447" s="50"/>
      <c r="EL447" s="50"/>
      <c r="EM447" s="50"/>
      <c r="EN447" s="50"/>
      <c r="EO447" s="50"/>
      <c r="EP447" s="50"/>
      <c r="EQ447" s="50"/>
      <c r="ER447" s="50"/>
      <c r="ES447" s="50"/>
      <c r="ET447" s="50"/>
      <c r="EU447" s="50"/>
      <c r="EV447" s="50"/>
      <c r="EW447" s="50"/>
      <c r="EX447" s="50"/>
      <c r="EY447" s="50"/>
      <c r="EZ447" s="50"/>
      <c r="FA447" s="50"/>
      <c r="FB447" s="50"/>
      <c r="FC447" s="50"/>
      <c r="FD447" s="50"/>
      <c r="FE447" s="50"/>
      <c r="FF447" s="50"/>
      <c r="FG447" s="50"/>
      <c r="FH447" s="50"/>
      <c r="FI447" s="50"/>
      <c r="FJ447" s="50"/>
      <c r="FK447" s="50"/>
      <c r="FL447" s="50"/>
      <c r="FM447" s="50"/>
      <c r="FN447" s="50"/>
      <c r="FO447" s="50"/>
      <c r="FP447" s="50"/>
      <c r="FQ447" s="50"/>
      <c r="FR447" s="50"/>
      <c r="FS447" s="50"/>
      <c r="FT447" s="50"/>
      <c r="FU447" s="50"/>
      <c r="FV447" s="50"/>
      <c r="FW447" s="50"/>
      <c r="FX447" s="50"/>
      <c r="FY447" s="50"/>
      <c r="FZ447" s="50"/>
      <c r="GA447" s="50"/>
      <c r="GB447" s="50"/>
      <c r="GC447" s="50"/>
      <c r="GD447" s="50"/>
      <c r="GE447" s="50"/>
      <c r="GF447" s="50"/>
    </row>
    <row r="448" spans="1:188">
      <c r="A448" s="147"/>
      <c r="B448" s="147"/>
      <c r="C448" s="51"/>
      <c r="D448" s="52"/>
      <c r="E448" s="47"/>
      <c r="F448" s="47"/>
      <c r="G448" s="47"/>
      <c r="H448" s="47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0"/>
      <c r="BR448" s="50"/>
      <c r="BS448" s="50"/>
      <c r="BT448" s="50"/>
      <c r="BU448" s="50"/>
      <c r="BV448" s="50"/>
      <c r="BW448" s="50"/>
      <c r="BX448" s="50"/>
      <c r="BY448" s="50"/>
      <c r="BZ448" s="50"/>
      <c r="CA448" s="50"/>
      <c r="CB448" s="50"/>
      <c r="CC448" s="50"/>
      <c r="CD448" s="50"/>
      <c r="CE448" s="50"/>
      <c r="CF448" s="50"/>
      <c r="CG448" s="50"/>
      <c r="CH448" s="50"/>
      <c r="CI448" s="50"/>
      <c r="CJ448" s="50"/>
      <c r="CK448" s="50"/>
      <c r="CL448" s="50"/>
      <c r="CM448" s="50"/>
      <c r="CN448" s="50"/>
      <c r="CO448" s="50"/>
      <c r="CP448" s="50"/>
      <c r="CQ448" s="50"/>
      <c r="CR448" s="50"/>
      <c r="CS448" s="50"/>
      <c r="CT448" s="50"/>
      <c r="CU448" s="50"/>
      <c r="CV448" s="50"/>
      <c r="CW448" s="50"/>
      <c r="CX448" s="50"/>
      <c r="CY448" s="50"/>
      <c r="CZ448" s="50"/>
      <c r="DA448" s="50"/>
      <c r="DB448" s="50"/>
      <c r="DC448" s="50"/>
      <c r="DD448" s="50"/>
      <c r="DE448" s="50"/>
      <c r="DF448" s="50"/>
      <c r="DG448" s="50"/>
      <c r="DH448" s="50"/>
      <c r="DI448" s="50"/>
      <c r="DJ448" s="50"/>
      <c r="DK448" s="50"/>
      <c r="DL448" s="50"/>
      <c r="DM448" s="50"/>
      <c r="DN448" s="50"/>
      <c r="DO448" s="50"/>
      <c r="DP448" s="50"/>
      <c r="DQ448" s="50"/>
      <c r="DR448" s="50"/>
      <c r="DS448" s="50"/>
      <c r="DT448" s="50"/>
      <c r="DU448" s="50"/>
      <c r="DV448" s="50"/>
      <c r="DW448" s="50"/>
      <c r="DX448" s="50"/>
      <c r="DY448" s="50"/>
      <c r="DZ448" s="50"/>
      <c r="EA448" s="50"/>
      <c r="EB448" s="50"/>
      <c r="EC448" s="50"/>
      <c r="ED448" s="50"/>
      <c r="EE448" s="50"/>
      <c r="EF448" s="50"/>
      <c r="EG448" s="50"/>
      <c r="EH448" s="50"/>
      <c r="EI448" s="50"/>
      <c r="EJ448" s="50"/>
      <c r="EK448" s="50"/>
      <c r="EL448" s="50"/>
      <c r="EM448" s="50"/>
      <c r="EN448" s="50"/>
      <c r="EO448" s="50"/>
      <c r="EP448" s="50"/>
      <c r="EQ448" s="50"/>
      <c r="ER448" s="50"/>
      <c r="ES448" s="50"/>
      <c r="ET448" s="50"/>
      <c r="EU448" s="50"/>
      <c r="EV448" s="50"/>
      <c r="EW448" s="50"/>
      <c r="EX448" s="50"/>
      <c r="EY448" s="50"/>
      <c r="EZ448" s="50"/>
      <c r="FA448" s="50"/>
      <c r="FB448" s="50"/>
      <c r="FC448" s="50"/>
      <c r="FD448" s="50"/>
      <c r="FE448" s="50"/>
      <c r="FF448" s="50"/>
      <c r="FG448" s="50"/>
      <c r="FH448" s="50"/>
      <c r="FI448" s="50"/>
      <c r="FJ448" s="50"/>
      <c r="FK448" s="50"/>
      <c r="FL448" s="50"/>
      <c r="FM448" s="50"/>
      <c r="FN448" s="50"/>
      <c r="FO448" s="50"/>
      <c r="FP448" s="50"/>
      <c r="FQ448" s="50"/>
      <c r="FR448" s="50"/>
      <c r="FS448" s="50"/>
      <c r="FT448" s="50"/>
      <c r="FU448" s="50"/>
      <c r="FV448" s="50"/>
      <c r="FW448" s="50"/>
      <c r="FX448" s="50"/>
      <c r="FY448" s="50"/>
      <c r="FZ448" s="50"/>
      <c r="GA448" s="50"/>
      <c r="GB448" s="50"/>
      <c r="GC448" s="50"/>
      <c r="GD448" s="50"/>
      <c r="GE448" s="50"/>
      <c r="GF448" s="50"/>
    </row>
    <row r="449" spans="1:188">
      <c r="A449" s="147"/>
      <c r="B449" s="147"/>
      <c r="C449" s="51"/>
      <c r="D449" s="52"/>
      <c r="E449" s="47"/>
      <c r="F449" s="47"/>
      <c r="G449" s="47"/>
      <c r="H449" s="47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/>
      <c r="CZ449" s="50"/>
      <c r="DA449" s="50"/>
      <c r="DB449" s="50"/>
      <c r="DC449" s="50"/>
      <c r="DD449" s="50"/>
      <c r="DE449" s="50"/>
      <c r="DF449" s="50"/>
      <c r="DG449" s="50"/>
      <c r="DH449" s="50"/>
      <c r="DI449" s="50"/>
      <c r="DJ449" s="50"/>
      <c r="DK449" s="50"/>
      <c r="DL449" s="50"/>
      <c r="DM449" s="50"/>
      <c r="DN449" s="50"/>
      <c r="DO449" s="50"/>
      <c r="DP449" s="50"/>
      <c r="DQ449" s="50"/>
      <c r="DR449" s="50"/>
      <c r="DS449" s="50"/>
      <c r="DT449" s="50"/>
      <c r="DU449" s="50"/>
      <c r="DV449" s="50"/>
      <c r="DW449" s="50"/>
      <c r="DX449" s="50"/>
      <c r="DY449" s="50"/>
      <c r="DZ449" s="50"/>
      <c r="EA449" s="50"/>
      <c r="EB449" s="50"/>
      <c r="EC449" s="50"/>
      <c r="ED449" s="50"/>
      <c r="EE449" s="50"/>
      <c r="EF449" s="50"/>
      <c r="EG449" s="50"/>
      <c r="EH449" s="50"/>
      <c r="EI449" s="50"/>
      <c r="EJ449" s="50"/>
      <c r="EK449" s="50"/>
      <c r="EL449" s="50"/>
      <c r="EM449" s="50"/>
      <c r="EN449" s="50"/>
      <c r="EO449" s="50"/>
      <c r="EP449" s="50"/>
      <c r="EQ449" s="50"/>
      <c r="ER449" s="50"/>
      <c r="ES449" s="50"/>
      <c r="ET449" s="50"/>
      <c r="EU449" s="50"/>
      <c r="EV449" s="50"/>
      <c r="EW449" s="50"/>
      <c r="EX449" s="50"/>
      <c r="EY449" s="50"/>
      <c r="EZ449" s="50"/>
      <c r="FA449" s="50"/>
      <c r="FB449" s="50"/>
      <c r="FC449" s="50"/>
      <c r="FD449" s="50"/>
      <c r="FE449" s="50"/>
      <c r="FF449" s="50"/>
      <c r="FG449" s="50"/>
      <c r="FH449" s="50"/>
      <c r="FI449" s="50"/>
      <c r="FJ449" s="50"/>
      <c r="FK449" s="50"/>
      <c r="FL449" s="50"/>
      <c r="FM449" s="50"/>
      <c r="FN449" s="50"/>
      <c r="FO449" s="50"/>
      <c r="FP449" s="50"/>
      <c r="FQ449" s="50"/>
      <c r="FR449" s="50"/>
      <c r="FS449" s="50"/>
      <c r="FT449" s="50"/>
      <c r="FU449" s="50"/>
      <c r="FV449" s="50"/>
      <c r="FW449" s="50"/>
      <c r="FX449" s="50"/>
      <c r="FY449" s="50"/>
      <c r="FZ449" s="50"/>
      <c r="GA449" s="50"/>
      <c r="GB449" s="50"/>
      <c r="GC449" s="50"/>
      <c r="GD449" s="50"/>
      <c r="GE449" s="50"/>
      <c r="GF449" s="50"/>
    </row>
    <row r="450" spans="1:188">
      <c r="A450" s="147"/>
      <c r="B450" s="147"/>
      <c r="C450" s="51"/>
      <c r="D450" s="52"/>
      <c r="E450" s="47"/>
      <c r="F450" s="47"/>
      <c r="G450" s="47"/>
      <c r="H450" s="47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0"/>
      <c r="BR450" s="50"/>
      <c r="BS450" s="50"/>
      <c r="BT450" s="50"/>
      <c r="BU450" s="50"/>
      <c r="BV450" s="50"/>
      <c r="BW450" s="50"/>
      <c r="BX450" s="50"/>
      <c r="BY450" s="50"/>
      <c r="BZ450" s="50"/>
      <c r="CA450" s="50"/>
      <c r="CB450" s="50"/>
      <c r="CC450" s="50"/>
      <c r="CD450" s="50"/>
      <c r="CE450" s="50"/>
      <c r="CF450" s="50"/>
      <c r="CG450" s="50"/>
      <c r="CH450" s="50"/>
      <c r="CI450" s="50"/>
      <c r="CJ450" s="50"/>
      <c r="CK450" s="50"/>
      <c r="CL450" s="50"/>
      <c r="CM450" s="50"/>
      <c r="CN450" s="50"/>
      <c r="CO450" s="50"/>
      <c r="CP450" s="50"/>
      <c r="CQ450" s="50"/>
      <c r="CR450" s="50"/>
      <c r="CS450" s="50"/>
      <c r="CT450" s="50"/>
      <c r="CU450" s="50"/>
      <c r="CV450" s="50"/>
      <c r="CW450" s="50"/>
      <c r="CX450" s="50"/>
      <c r="CY450" s="50"/>
      <c r="CZ450" s="50"/>
      <c r="DA450" s="50"/>
      <c r="DB450" s="50"/>
      <c r="DC450" s="50"/>
      <c r="DD450" s="50"/>
      <c r="DE450" s="50"/>
      <c r="DF450" s="50"/>
      <c r="DG450" s="50"/>
      <c r="DH450" s="50"/>
      <c r="DI450" s="50"/>
      <c r="DJ450" s="50"/>
      <c r="DK450" s="50"/>
      <c r="DL450" s="50"/>
      <c r="DM450" s="50"/>
      <c r="DN450" s="50"/>
      <c r="DO450" s="50"/>
      <c r="DP450" s="50"/>
      <c r="DQ450" s="50"/>
      <c r="DR450" s="50"/>
      <c r="DS450" s="50"/>
      <c r="DT450" s="50"/>
      <c r="DU450" s="50"/>
      <c r="DV450" s="50"/>
      <c r="DW450" s="50"/>
      <c r="DX450" s="50"/>
      <c r="DY450" s="50"/>
      <c r="DZ450" s="50"/>
      <c r="EA450" s="50"/>
      <c r="EB450" s="50"/>
      <c r="EC450" s="50"/>
      <c r="ED450" s="50"/>
      <c r="EE450" s="50"/>
      <c r="EF450" s="50"/>
      <c r="EG450" s="50"/>
      <c r="EH450" s="50"/>
      <c r="EI450" s="50"/>
      <c r="EJ450" s="50"/>
      <c r="EK450" s="50"/>
      <c r="EL450" s="50"/>
      <c r="EM450" s="50"/>
      <c r="EN450" s="50"/>
      <c r="EO450" s="50"/>
      <c r="EP450" s="50"/>
      <c r="EQ450" s="50"/>
      <c r="ER450" s="50"/>
      <c r="ES450" s="50"/>
      <c r="ET450" s="50"/>
      <c r="EU450" s="50"/>
      <c r="EV450" s="50"/>
      <c r="EW450" s="50"/>
      <c r="EX450" s="50"/>
      <c r="EY450" s="50"/>
      <c r="EZ450" s="50"/>
      <c r="FA450" s="50"/>
      <c r="FB450" s="50"/>
      <c r="FC450" s="50"/>
      <c r="FD450" s="50"/>
      <c r="FE450" s="50"/>
      <c r="FF450" s="50"/>
      <c r="FG450" s="50"/>
      <c r="FH450" s="50"/>
      <c r="FI450" s="50"/>
      <c r="FJ450" s="50"/>
      <c r="FK450" s="50"/>
      <c r="FL450" s="50"/>
      <c r="FM450" s="50"/>
      <c r="FN450" s="50"/>
      <c r="FO450" s="50"/>
      <c r="FP450" s="50"/>
      <c r="FQ450" s="50"/>
      <c r="FR450" s="50"/>
      <c r="FS450" s="50"/>
      <c r="FT450" s="50"/>
      <c r="FU450" s="50"/>
      <c r="FV450" s="50"/>
      <c r="FW450" s="50"/>
      <c r="FX450" s="50"/>
      <c r="FY450" s="50"/>
      <c r="FZ450" s="50"/>
      <c r="GA450" s="50"/>
      <c r="GB450" s="50"/>
      <c r="GC450" s="50"/>
      <c r="GD450" s="50"/>
      <c r="GE450" s="50"/>
      <c r="GF450" s="50"/>
    </row>
    <row r="451" spans="1:188">
      <c r="A451" s="147"/>
      <c r="B451" s="147"/>
      <c r="C451" s="51"/>
      <c r="D451" s="52"/>
      <c r="E451" s="47"/>
      <c r="F451" s="47"/>
      <c r="G451" s="47"/>
      <c r="H451" s="47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/>
      <c r="BT451" s="50"/>
      <c r="BU451" s="50"/>
      <c r="BV451" s="50"/>
      <c r="BW451" s="50"/>
      <c r="BX451" s="50"/>
      <c r="BY451" s="50"/>
      <c r="BZ451" s="50"/>
      <c r="CA451" s="50"/>
      <c r="CB451" s="50"/>
      <c r="CC451" s="50"/>
      <c r="CD451" s="50"/>
      <c r="CE451" s="50"/>
      <c r="CF451" s="50"/>
      <c r="CG451" s="50"/>
      <c r="CH451" s="50"/>
      <c r="CI451" s="50"/>
      <c r="CJ451" s="50"/>
      <c r="CK451" s="50"/>
      <c r="CL451" s="50"/>
      <c r="CM451" s="50"/>
      <c r="CN451" s="50"/>
      <c r="CO451" s="50"/>
      <c r="CP451" s="50"/>
      <c r="CQ451" s="50"/>
      <c r="CR451" s="50"/>
      <c r="CS451" s="50"/>
      <c r="CT451" s="50"/>
      <c r="CU451" s="50"/>
      <c r="CV451" s="50"/>
      <c r="CW451" s="50"/>
      <c r="CX451" s="50"/>
      <c r="CY451" s="50"/>
      <c r="CZ451" s="50"/>
      <c r="DA451" s="50"/>
      <c r="DB451" s="50"/>
      <c r="DC451" s="50"/>
      <c r="DD451" s="50"/>
      <c r="DE451" s="50"/>
      <c r="DF451" s="50"/>
      <c r="DG451" s="50"/>
      <c r="DH451" s="50"/>
      <c r="DI451" s="50"/>
      <c r="DJ451" s="50"/>
      <c r="DK451" s="50"/>
      <c r="DL451" s="50"/>
      <c r="DM451" s="50"/>
      <c r="DN451" s="50"/>
      <c r="DO451" s="50"/>
      <c r="DP451" s="50"/>
      <c r="DQ451" s="50"/>
      <c r="DR451" s="50"/>
      <c r="DS451" s="50"/>
      <c r="DT451" s="50"/>
      <c r="DU451" s="50"/>
      <c r="DV451" s="50"/>
      <c r="DW451" s="50"/>
      <c r="DX451" s="50"/>
      <c r="DY451" s="50"/>
      <c r="DZ451" s="50"/>
      <c r="EA451" s="50"/>
      <c r="EB451" s="50"/>
      <c r="EC451" s="50"/>
      <c r="ED451" s="50"/>
      <c r="EE451" s="50"/>
      <c r="EF451" s="50"/>
      <c r="EG451" s="50"/>
      <c r="EH451" s="50"/>
      <c r="EI451" s="50"/>
      <c r="EJ451" s="50"/>
      <c r="EK451" s="50"/>
      <c r="EL451" s="50"/>
      <c r="EM451" s="50"/>
      <c r="EN451" s="50"/>
      <c r="EO451" s="50"/>
      <c r="EP451" s="50"/>
      <c r="EQ451" s="50"/>
      <c r="ER451" s="50"/>
      <c r="ES451" s="50"/>
      <c r="ET451" s="50"/>
      <c r="EU451" s="50"/>
      <c r="EV451" s="50"/>
      <c r="EW451" s="50"/>
      <c r="EX451" s="50"/>
      <c r="EY451" s="50"/>
      <c r="EZ451" s="50"/>
      <c r="FA451" s="50"/>
      <c r="FB451" s="50"/>
      <c r="FC451" s="50"/>
      <c r="FD451" s="50"/>
      <c r="FE451" s="50"/>
      <c r="FF451" s="50"/>
      <c r="FG451" s="50"/>
      <c r="FH451" s="50"/>
      <c r="FI451" s="50"/>
      <c r="FJ451" s="50"/>
      <c r="FK451" s="50"/>
      <c r="FL451" s="50"/>
      <c r="FM451" s="50"/>
      <c r="FN451" s="50"/>
      <c r="FO451" s="50"/>
      <c r="FP451" s="50"/>
      <c r="FQ451" s="50"/>
      <c r="FR451" s="50"/>
      <c r="FS451" s="50"/>
      <c r="FT451" s="50"/>
      <c r="FU451" s="50"/>
      <c r="FV451" s="50"/>
      <c r="FW451" s="50"/>
      <c r="FX451" s="50"/>
      <c r="FY451" s="50"/>
      <c r="FZ451" s="50"/>
      <c r="GA451" s="50"/>
      <c r="GB451" s="50"/>
      <c r="GC451" s="50"/>
      <c r="GD451" s="50"/>
      <c r="GE451" s="50"/>
      <c r="GF451" s="50"/>
    </row>
    <row r="452" spans="1:188">
      <c r="A452" s="147"/>
      <c r="B452" s="147"/>
      <c r="C452" s="51"/>
      <c r="D452" s="52"/>
      <c r="E452" s="47"/>
      <c r="F452" s="47"/>
      <c r="G452" s="47"/>
      <c r="H452" s="47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0"/>
      <c r="BR452" s="50"/>
      <c r="BS452" s="50"/>
      <c r="BT452" s="50"/>
      <c r="BU452" s="50"/>
      <c r="BV452" s="50"/>
      <c r="BW452" s="50"/>
      <c r="BX452" s="50"/>
      <c r="BY452" s="50"/>
      <c r="BZ452" s="50"/>
      <c r="CA452" s="50"/>
      <c r="CB452" s="50"/>
      <c r="CC452" s="50"/>
      <c r="CD452" s="50"/>
      <c r="CE452" s="50"/>
      <c r="CF452" s="50"/>
      <c r="CG452" s="50"/>
      <c r="CH452" s="50"/>
      <c r="CI452" s="50"/>
      <c r="CJ452" s="50"/>
      <c r="CK452" s="50"/>
      <c r="CL452" s="50"/>
      <c r="CM452" s="50"/>
      <c r="CN452" s="50"/>
      <c r="CO452" s="50"/>
      <c r="CP452" s="50"/>
      <c r="CQ452" s="50"/>
      <c r="CR452" s="50"/>
      <c r="CS452" s="50"/>
      <c r="CT452" s="50"/>
      <c r="CU452" s="50"/>
      <c r="CV452" s="50"/>
      <c r="CW452" s="50"/>
      <c r="CX452" s="50"/>
      <c r="CY452" s="50"/>
      <c r="CZ452" s="50"/>
      <c r="DA452" s="50"/>
      <c r="DB452" s="50"/>
      <c r="DC452" s="50"/>
      <c r="DD452" s="50"/>
      <c r="DE452" s="50"/>
      <c r="DF452" s="50"/>
      <c r="DG452" s="50"/>
      <c r="DH452" s="50"/>
      <c r="DI452" s="50"/>
      <c r="DJ452" s="50"/>
      <c r="DK452" s="50"/>
      <c r="DL452" s="50"/>
      <c r="DM452" s="50"/>
      <c r="DN452" s="50"/>
      <c r="DO452" s="50"/>
      <c r="DP452" s="50"/>
      <c r="DQ452" s="50"/>
      <c r="DR452" s="50"/>
      <c r="DS452" s="50"/>
      <c r="DT452" s="50"/>
      <c r="DU452" s="50"/>
      <c r="DV452" s="50"/>
      <c r="DW452" s="50"/>
      <c r="DX452" s="50"/>
      <c r="DY452" s="50"/>
      <c r="DZ452" s="50"/>
      <c r="EA452" s="50"/>
      <c r="EB452" s="50"/>
      <c r="EC452" s="50"/>
      <c r="ED452" s="50"/>
      <c r="EE452" s="50"/>
      <c r="EF452" s="50"/>
      <c r="EG452" s="50"/>
      <c r="EH452" s="50"/>
      <c r="EI452" s="50"/>
      <c r="EJ452" s="50"/>
      <c r="EK452" s="50"/>
      <c r="EL452" s="50"/>
      <c r="EM452" s="50"/>
      <c r="EN452" s="50"/>
      <c r="EO452" s="50"/>
      <c r="EP452" s="50"/>
      <c r="EQ452" s="50"/>
      <c r="ER452" s="50"/>
      <c r="ES452" s="50"/>
      <c r="ET452" s="50"/>
      <c r="EU452" s="50"/>
      <c r="EV452" s="50"/>
      <c r="EW452" s="50"/>
      <c r="EX452" s="50"/>
      <c r="EY452" s="50"/>
      <c r="EZ452" s="50"/>
      <c r="FA452" s="50"/>
      <c r="FB452" s="50"/>
      <c r="FC452" s="50"/>
      <c r="FD452" s="50"/>
      <c r="FE452" s="50"/>
      <c r="FF452" s="50"/>
      <c r="FG452" s="50"/>
      <c r="FH452" s="50"/>
      <c r="FI452" s="50"/>
      <c r="FJ452" s="50"/>
      <c r="FK452" s="50"/>
      <c r="FL452" s="50"/>
      <c r="FM452" s="50"/>
      <c r="FN452" s="50"/>
      <c r="FO452" s="50"/>
      <c r="FP452" s="50"/>
      <c r="FQ452" s="50"/>
      <c r="FR452" s="50"/>
      <c r="FS452" s="50"/>
      <c r="FT452" s="50"/>
      <c r="FU452" s="50"/>
      <c r="FV452" s="50"/>
      <c r="FW452" s="50"/>
      <c r="FX452" s="50"/>
      <c r="FY452" s="50"/>
      <c r="FZ452" s="50"/>
      <c r="GA452" s="50"/>
      <c r="GB452" s="50"/>
      <c r="GC452" s="50"/>
      <c r="GD452" s="50"/>
      <c r="GE452" s="50"/>
      <c r="GF452" s="50"/>
    </row>
    <row r="453" spans="1:188">
      <c r="A453" s="147"/>
      <c r="B453" s="147"/>
      <c r="C453" s="51"/>
      <c r="D453" s="52"/>
      <c r="E453" s="47"/>
      <c r="F453" s="47"/>
      <c r="G453" s="47"/>
      <c r="H453" s="47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0"/>
      <c r="BR453" s="50"/>
      <c r="BS453" s="50"/>
      <c r="BT453" s="50"/>
      <c r="BU453" s="50"/>
      <c r="BV453" s="50"/>
      <c r="BW453" s="50"/>
      <c r="BX453" s="50"/>
      <c r="BY453" s="50"/>
      <c r="BZ453" s="50"/>
      <c r="CA453" s="50"/>
      <c r="CB453" s="50"/>
      <c r="CC453" s="50"/>
      <c r="CD453" s="50"/>
      <c r="CE453" s="50"/>
      <c r="CF453" s="50"/>
      <c r="CG453" s="50"/>
      <c r="CH453" s="50"/>
      <c r="CI453" s="50"/>
      <c r="CJ453" s="50"/>
      <c r="CK453" s="50"/>
      <c r="CL453" s="50"/>
      <c r="CM453" s="50"/>
      <c r="CN453" s="50"/>
      <c r="CO453" s="50"/>
      <c r="CP453" s="50"/>
      <c r="CQ453" s="50"/>
      <c r="CR453" s="50"/>
      <c r="CS453" s="50"/>
      <c r="CT453" s="50"/>
      <c r="CU453" s="50"/>
      <c r="CV453" s="50"/>
      <c r="CW453" s="50"/>
      <c r="CX453" s="50"/>
      <c r="CY453" s="50"/>
      <c r="CZ453" s="50"/>
      <c r="DA453" s="50"/>
      <c r="DB453" s="50"/>
      <c r="DC453" s="50"/>
      <c r="DD453" s="50"/>
      <c r="DE453" s="50"/>
      <c r="DF453" s="50"/>
      <c r="DG453" s="50"/>
      <c r="DH453" s="50"/>
      <c r="DI453" s="50"/>
      <c r="DJ453" s="50"/>
      <c r="DK453" s="50"/>
      <c r="DL453" s="50"/>
      <c r="DM453" s="50"/>
      <c r="DN453" s="50"/>
      <c r="DO453" s="50"/>
      <c r="DP453" s="50"/>
      <c r="DQ453" s="50"/>
      <c r="DR453" s="50"/>
      <c r="DS453" s="50"/>
      <c r="DT453" s="50"/>
      <c r="DU453" s="50"/>
      <c r="DV453" s="50"/>
      <c r="DW453" s="50"/>
      <c r="DX453" s="50"/>
      <c r="DY453" s="50"/>
      <c r="DZ453" s="50"/>
      <c r="EA453" s="50"/>
      <c r="EB453" s="50"/>
      <c r="EC453" s="50"/>
      <c r="ED453" s="50"/>
      <c r="EE453" s="50"/>
      <c r="EF453" s="50"/>
      <c r="EG453" s="50"/>
      <c r="EH453" s="50"/>
      <c r="EI453" s="50"/>
      <c r="EJ453" s="50"/>
      <c r="EK453" s="50"/>
      <c r="EL453" s="50"/>
      <c r="EM453" s="50"/>
      <c r="EN453" s="50"/>
      <c r="EO453" s="50"/>
      <c r="EP453" s="50"/>
      <c r="EQ453" s="50"/>
      <c r="ER453" s="50"/>
      <c r="ES453" s="50"/>
      <c r="ET453" s="50"/>
      <c r="EU453" s="50"/>
      <c r="EV453" s="50"/>
      <c r="EW453" s="50"/>
      <c r="EX453" s="50"/>
      <c r="EY453" s="50"/>
      <c r="EZ453" s="50"/>
      <c r="FA453" s="50"/>
      <c r="FB453" s="50"/>
      <c r="FC453" s="50"/>
      <c r="FD453" s="50"/>
      <c r="FE453" s="50"/>
      <c r="FF453" s="50"/>
      <c r="FG453" s="50"/>
      <c r="FH453" s="50"/>
      <c r="FI453" s="50"/>
      <c r="FJ453" s="50"/>
      <c r="FK453" s="50"/>
      <c r="FL453" s="50"/>
      <c r="FM453" s="50"/>
      <c r="FN453" s="50"/>
      <c r="FO453" s="50"/>
      <c r="FP453" s="50"/>
      <c r="FQ453" s="50"/>
      <c r="FR453" s="50"/>
      <c r="FS453" s="50"/>
      <c r="FT453" s="50"/>
      <c r="FU453" s="50"/>
      <c r="FV453" s="50"/>
      <c r="FW453" s="50"/>
      <c r="FX453" s="50"/>
      <c r="FY453" s="50"/>
      <c r="FZ453" s="50"/>
      <c r="GA453" s="50"/>
      <c r="GB453" s="50"/>
      <c r="GC453" s="50"/>
      <c r="GD453" s="50"/>
      <c r="GE453" s="50"/>
      <c r="GF453" s="50"/>
    </row>
    <row r="454" spans="1:188">
      <c r="A454" s="147"/>
      <c r="B454" s="147"/>
      <c r="C454" s="51"/>
      <c r="D454" s="52"/>
      <c r="E454" s="47"/>
      <c r="F454" s="47"/>
      <c r="G454" s="47"/>
      <c r="H454" s="47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/>
      <c r="CK454" s="50"/>
      <c r="CL454" s="50"/>
      <c r="CM454" s="50"/>
      <c r="CN454" s="50"/>
      <c r="CO454" s="50"/>
      <c r="CP454" s="50"/>
      <c r="CQ454" s="50"/>
      <c r="CR454" s="50"/>
      <c r="CS454" s="50"/>
      <c r="CT454" s="50"/>
      <c r="CU454" s="50"/>
      <c r="CV454" s="50"/>
      <c r="CW454" s="50"/>
      <c r="CX454" s="50"/>
      <c r="CY454" s="50"/>
      <c r="CZ454" s="50"/>
      <c r="DA454" s="50"/>
      <c r="DB454" s="50"/>
      <c r="DC454" s="50"/>
      <c r="DD454" s="50"/>
      <c r="DE454" s="50"/>
      <c r="DF454" s="50"/>
      <c r="DG454" s="50"/>
      <c r="DH454" s="50"/>
      <c r="DI454" s="50"/>
      <c r="DJ454" s="50"/>
      <c r="DK454" s="50"/>
      <c r="DL454" s="50"/>
      <c r="DM454" s="50"/>
      <c r="DN454" s="50"/>
      <c r="DO454" s="50"/>
      <c r="DP454" s="50"/>
      <c r="DQ454" s="50"/>
      <c r="DR454" s="50"/>
      <c r="DS454" s="50"/>
      <c r="DT454" s="50"/>
      <c r="DU454" s="50"/>
      <c r="DV454" s="50"/>
      <c r="DW454" s="50"/>
      <c r="DX454" s="50"/>
      <c r="DY454" s="50"/>
      <c r="DZ454" s="50"/>
      <c r="EA454" s="50"/>
      <c r="EB454" s="50"/>
      <c r="EC454" s="50"/>
      <c r="ED454" s="50"/>
      <c r="EE454" s="50"/>
      <c r="EF454" s="50"/>
      <c r="EG454" s="50"/>
      <c r="EH454" s="50"/>
      <c r="EI454" s="50"/>
      <c r="EJ454" s="50"/>
      <c r="EK454" s="50"/>
      <c r="EL454" s="50"/>
      <c r="EM454" s="50"/>
      <c r="EN454" s="50"/>
      <c r="EO454" s="50"/>
      <c r="EP454" s="50"/>
      <c r="EQ454" s="50"/>
      <c r="ER454" s="50"/>
      <c r="ES454" s="50"/>
      <c r="ET454" s="50"/>
      <c r="EU454" s="50"/>
      <c r="EV454" s="50"/>
      <c r="EW454" s="50"/>
      <c r="EX454" s="50"/>
      <c r="EY454" s="50"/>
      <c r="EZ454" s="50"/>
      <c r="FA454" s="50"/>
      <c r="FB454" s="50"/>
      <c r="FC454" s="50"/>
      <c r="FD454" s="50"/>
      <c r="FE454" s="50"/>
      <c r="FF454" s="50"/>
      <c r="FG454" s="50"/>
      <c r="FH454" s="50"/>
      <c r="FI454" s="50"/>
      <c r="FJ454" s="50"/>
      <c r="FK454" s="50"/>
      <c r="FL454" s="50"/>
      <c r="FM454" s="50"/>
      <c r="FN454" s="50"/>
      <c r="FO454" s="50"/>
      <c r="FP454" s="50"/>
      <c r="FQ454" s="50"/>
      <c r="FR454" s="50"/>
      <c r="FS454" s="50"/>
      <c r="FT454" s="50"/>
      <c r="FU454" s="50"/>
      <c r="FV454" s="50"/>
      <c r="FW454" s="50"/>
      <c r="FX454" s="50"/>
      <c r="FY454" s="50"/>
      <c r="FZ454" s="50"/>
      <c r="GA454" s="50"/>
      <c r="GB454" s="50"/>
      <c r="GC454" s="50"/>
      <c r="GD454" s="50"/>
      <c r="GE454" s="50"/>
      <c r="GF454" s="50"/>
    </row>
    <row r="455" spans="1:188">
      <c r="A455" s="147"/>
      <c r="B455" s="147"/>
      <c r="C455" s="51"/>
      <c r="D455" s="52"/>
      <c r="E455" s="47"/>
      <c r="F455" s="47"/>
      <c r="G455" s="47"/>
      <c r="H455" s="47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0"/>
      <c r="BR455" s="50"/>
      <c r="BS455" s="50"/>
      <c r="BT455" s="50"/>
      <c r="BU455" s="50"/>
      <c r="BV455" s="50"/>
      <c r="BW455" s="50"/>
      <c r="BX455" s="50"/>
      <c r="BY455" s="50"/>
      <c r="BZ455" s="50"/>
      <c r="CA455" s="50"/>
      <c r="CB455" s="50"/>
      <c r="CC455" s="50"/>
      <c r="CD455" s="50"/>
      <c r="CE455" s="50"/>
      <c r="CF455" s="50"/>
      <c r="CG455" s="50"/>
      <c r="CH455" s="50"/>
      <c r="CI455" s="50"/>
      <c r="CJ455" s="50"/>
      <c r="CK455" s="50"/>
      <c r="CL455" s="50"/>
      <c r="CM455" s="50"/>
      <c r="CN455" s="50"/>
      <c r="CO455" s="50"/>
      <c r="CP455" s="50"/>
      <c r="CQ455" s="50"/>
      <c r="CR455" s="50"/>
      <c r="CS455" s="50"/>
      <c r="CT455" s="50"/>
      <c r="CU455" s="50"/>
      <c r="CV455" s="50"/>
      <c r="CW455" s="50"/>
      <c r="CX455" s="50"/>
      <c r="CY455" s="50"/>
      <c r="CZ455" s="50"/>
      <c r="DA455" s="50"/>
      <c r="DB455" s="50"/>
      <c r="DC455" s="50"/>
      <c r="DD455" s="50"/>
      <c r="DE455" s="50"/>
      <c r="DF455" s="50"/>
      <c r="DG455" s="50"/>
      <c r="DH455" s="50"/>
      <c r="DI455" s="50"/>
      <c r="DJ455" s="50"/>
      <c r="DK455" s="50"/>
      <c r="DL455" s="50"/>
      <c r="DM455" s="50"/>
      <c r="DN455" s="50"/>
      <c r="DO455" s="50"/>
      <c r="DP455" s="50"/>
      <c r="DQ455" s="50"/>
      <c r="DR455" s="50"/>
      <c r="DS455" s="50"/>
      <c r="DT455" s="50"/>
      <c r="DU455" s="50"/>
      <c r="DV455" s="50"/>
      <c r="DW455" s="50"/>
      <c r="DX455" s="50"/>
      <c r="DY455" s="50"/>
      <c r="DZ455" s="50"/>
      <c r="EA455" s="50"/>
      <c r="EB455" s="50"/>
      <c r="EC455" s="50"/>
      <c r="ED455" s="50"/>
      <c r="EE455" s="50"/>
      <c r="EF455" s="50"/>
      <c r="EG455" s="50"/>
      <c r="EH455" s="50"/>
      <c r="EI455" s="50"/>
      <c r="EJ455" s="50"/>
      <c r="EK455" s="50"/>
      <c r="EL455" s="50"/>
      <c r="EM455" s="50"/>
      <c r="EN455" s="50"/>
      <c r="EO455" s="50"/>
      <c r="EP455" s="50"/>
      <c r="EQ455" s="50"/>
      <c r="ER455" s="50"/>
      <c r="ES455" s="50"/>
      <c r="ET455" s="50"/>
      <c r="EU455" s="50"/>
      <c r="EV455" s="50"/>
      <c r="EW455" s="50"/>
      <c r="EX455" s="50"/>
      <c r="EY455" s="50"/>
      <c r="EZ455" s="50"/>
      <c r="FA455" s="50"/>
      <c r="FB455" s="50"/>
      <c r="FC455" s="50"/>
      <c r="FD455" s="50"/>
      <c r="FE455" s="50"/>
      <c r="FF455" s="50"/>
      <c r="FG455" s="50"/>
      <c r="FH455" s="50"/>
      <c r="FI455" s="50"/>
      <c r="FJ455" s="50"/>
      <c r="FK455" s="50"/>
      <c r="FL455" s="50"/>
      <c r="FM455" s="50"/>
      <c r="FN455" s="50"/>
      <c r="FO455" s="50"/>
      <c r="FP455" s="50"/>
      <c r="FQ455" s="50"/>
      <c r="FR455" s="50"/>
      <c r="FS455" s="50"/>
      <c r="FT455" s="50"/>
      <c r="FU455" s="50"/>
      <c r="FV455" s="50"/>
      <c r="FW455" s="50"/>
      <c r="FX455" s="50"/>
      <c r="FY455" s="50"/>
      <c r="FZ455" s="50"/>
      <c r="GA455" s="50"/>
      <c r="GB455" s="50"/>
      <c r="GC455" s="50"/>
      <c r="GD455" s="50"/>
      <c r="GE455" s="50"/>
      <c r="GF455" s="50"/>
    </row>
    <row r="456" spans="1:188">
      <c r="A456" s="147"/>
      <c r="B456" s="147"/>
      <c r="C456" s="51"/>
      <c r="D456" s="52"/>
      <c r="E456" s="47"/>
      <c r="F456" s="47"/>
      <c r="G456" s="47"/>
      <c r="H456" s="47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/>
      <c r="CK456" s="50"/>
      <c r="CL456" s="50"/>
      <c r="CM456" s="50"/>
      <c r="CN456" s="50"/>
      <c r="CO456" s="50"/>
      <c r="CP456" s="50"/>
      <c r="CQ456" s="50"/>
      <c r="CR456" s="50"/>
      <c r="CS456" s="50"/>
      <c r="CT456" s="50"/>
      <c r="CU456" s="50"/>
      <c r="CV456" s="50"/>
      <c r="CW456" s="50"/>
      <c r="CX456" s="50"/>
      <c r="CY456" s="50"/>
      <c r="CZ456" s="50"/>
      <c r="DA456" s="50"/>
      <c r="DB456" s="50"/>
      <c r="DC456" s="50"/>
      <c r="DD456" s="50"/>
      <c r="DE456" s="50"/>
      <c r="DF456" s="50"/>
      <c r="DG456" s="50"/>
      <c r="DH456" s="50"/>
      <c r="DI456" s="50"/>
      <c r="DJ456" s="50"/>
      <c r="DK456" s="50"/>
      <c r="DL456" s="50"/>
      <c r="DM456" s="50"/>
      <c r="DN456" s="50"/>
      <c r="DO456" s="50"/>
      <c r="DP456" s="50"/>
      <c r="DQ456" s="50"/>
      <c r="DR456" s="50"/>
      <c r="DS456" s="50"/>
      <c r="DT456" s="50"/>
      <c r="DU456" s="50"/>
      <c r="DV456" s="50"/>
      <c r="DW456" s="50"/>
      <c r="DX456" s="50"/>
      <c r="DY456" s="50"/>
      <c r="DZ456" s="50"/>
      <c r="EA456" s="50"/>
      <c r="EB456" s="50"/>
      <c r="EC456" s="50"/>
      <c r="ED456" s="50"/>
      <c r="EE456" s="50"/>
      <c r="EF456" s="50"/>
      <c r="EG456" s="50"/>
      <c r="EH456" s="50"/>
      <c r="EI456" s="50"/>
      <c r="EJ456" s="50"/>
      <c r="EK456" s="50"/>
      <c r="EL456" s="50"/>
      <c r="EM456" s="50"/>
      <c r="EN456" s="50"/>
      <c r="EO456" s="50"/>
      <c r="EP456" s="50"/>
      <c r="EQ456" s="50"/>
      <c r="ER456" s="50"/>
      <c r="ES456" s="50"/>
      <c r="ET456" s="50"/>
      <c r="EU456" s="50"/>
      <c r="EV456" s="50"/>
      <c r="EW456" s="50"/>
      <c r="EX456" s="50"/>
      <c r="EY456" s="50"/>
      <c r="EZ456" s="50"/>
      <c r="FA456" s="50"/>
      <c r="FB456" s="50"/>
      <c r="FC456" s="50"/>
      <c r="FD456" s="50"/>
      <c r="FE456" s="50"/>
      <c r="FF456" s="50"/>
      <c r="FG456" s="50"/>
      <c r="FH456" s="50"/>
      <c r="FI456" s="50"/>
      <c r="FJ456" s="50"/>
      <c r="FK456" s="50"/>
      <c r="FL456" s="50"/>
      <c r="FM456" s="50"/>
      <c r="FN456" s="50"/>
      <c r="FO456" s="50"/>
      <c r="FP456" s="50"/>
      <c r="FQ456" s="50"/>
      <c r="FR456" s="50"/>
      <c r="FS456" s="50"/>
      <c r="FT456" s="50"/>
      <c r="FU456" s="50"/>
      <c r="FV456" s="50"/>
      <c r="FW456" s="50"/>
      <c r="FX456" s="50"/>
      <c r="FY456" s="50"/>
      <c r="FZ456" s="50"/>
      <c r="GA456" s="50"/>
      <c r="GB456" s="50"/>
      <c r="GC456" s="50"/>
      <c r="GD456" s="50"/>
      <c r="GE456" s="50"/>
      <c r="GF456" s="50"/>
    </row>
    <row r="457" spans="1:188">
      <c r="A457" s="147"/>
      <c r="B457" s="147"/>
      <c r="C457" s="51"/>
      <c r="D457" s="52"/>
      <c r="E457" s="47"/>
      <c r="F457" s="47"/>
      <c r="G457" s="47"/>
      <c r="H457" s="47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  <c r="CE457" s="50"/>
      <c r="CF457" s="50"/>
      <c r="CG457" s="50"/>
      <c r="CH457" s="50"/>
      <c r="CI457" s="50"/>
      <c r="CJ457" s="50"/>
      <c r="CK457" s="50"/>
      <c r="CL457" s="50"/>
      <c r="CM457" s="50"/>
      <c r="CN457" s="50"/>
      <c r="CO457" s="50"/>
      <c r="CP457" s="50"/>
      <c r="CQ457" s="50"/>
      <c r="CR457" s="50"/>
      <c r="CS457" s="50"/>
      <c r="CT457" s="50"/>
      <c r="CU457" s="50"/>
      <c r="CV457" s="50"/>
      <c r="CW457" s="50"/>
      <c r="CX457" s="50"/>
      <c r="CY457" s="50"/>
      <c r="CZ457" s="50"/>
      <c r="DA457" s="50"/>
      <c r="DB457" s="50"/>
      <c r="DC457" s="50"/>
      <c r="DD457" s="50"/>
      <c r="DE457" s="50"/>
      <c r="DF457" s="50"/>
      <c r="DG457" s="50"/>
      <c r="DH457" s="50"/>
      <c r="DI457" s="50"/>
      <c r="DJ457" s="50"/>
      <c r="DK457" s="50"/>
      <c r="DL457" s="50"/>
      <c r="DM457" s="50"/>
      <c r="DN457" s="50"/>
      <c r="DO457" s="50"/>
      <c r="DP457" s="50"/>
      <c r="DQ457" s="50"/>
      <c r="DR457" s="50"/>
      <c r="DS457" s="50"/>
      <c r="DT457" s="50"/>
      <c r="DU457" s="50"/>
      <c r="DV457" s="50"/>
      <c r="DW457" s="50"/>
      <c r="DX457" s="50"/>
      <c r="DY457" s="50"/>
      <c r="DZ457" s="50"/>
      <c r="EA457" s="50"/>
      <c r="EB457" s="50"/>
      <c r="EC457" s="50"/>
      <c r="ED457" s="50"/>
      <c r="EE457" s="50"/>
      <c r="EF457" s="50"/>
      <c r="EG457" s="50"/>
      <c r="EH457" s="50"/>
      <c r="EI457" s="50"/>
      <c r="EJ457" s="50"/>
      <c r="EK457" s="50"/>
      <c r="EL457" s="50"/>
      <c r="EM457" s="50"/>
      <c r="EN457" s="50"/>
      <c r="EO457" s="50"/>
      <c r="EP457" s="50"/>
      <c r="EQ457" s="50"/>
      <c r="ER457" s="50"/>
      <c r="ES457" s="50"/>
      <c r="ET457" s="50"/>
      <c r="EU457" s="50"/>
      <c r="EV457" s="50"/>
      <c r="EW457" s="50"/>
      <c r="EX457" s="50"/>
      <c r="EY457" s="50"/>
      <c r="EZ457" s="50"/>
      <c r="FA457" s="50"/>
      <c r="FB457" s="50"/>
      <c r="FC457" s="50"/>
      <c r="FD457" s="50"/>
      <c r="FE457" s="50"/>
      <c r="FF457" s="50"/>
      <c r="FG457" s="50"/>
      <c r="FH457" s="50"/>
      <c r="FI457" s="50"/>
      <c r="FJ457" s="50"/>
      <c r="FK457" s="50"/>
      <c r="FL457" s="50"/>
      <c r="FM457" s="50"/>
      <c r="FN457" s="50"/>
      <c r="FO457" s="50"/>
      <c r="FP457" s="50"/>
      <c r="FQ457" s="50"/>
      <c r="FR457" s="50"/>
      <c r="FS457" s="50"/>
      <c r="FT457" s="50"/>
      <c r="FU457" s="50"/>
      <c r="FV457" s="50"/>
      <c r="FW457" s="50"/>
      <c r="FX457" s="50"/>
      <c r="FY457" s="50"/>
      <c r="FZ457" s="50"/>
      <c r="GA457" s="50"/>
      <c r="GB457" s="50"/>
      <c r="GC457" s="50"/>
      <c r="GD457" s="50"/>
      <c r="GE457" s="50"/>
      <c r="GF457" s="50"/>
    </row>
    <row r="458" spans="1:188">
      <c r="A458" s="147"/>
      <c r="B458" s="147"/>
      <c r="C458" s="51"/>
      <c r="D458" s="52"/>
      <c r="E458" s="47"/>
      <c r="F458" s="47"/>
      <c r="G458" s="47"/>
      <c r="H458" s="47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/>
      <c r="CK458" s="50"/>
      <c r="CL458" s="50"/>
      <c r="CM458" s="50"/>
      <c r="CN458" s="50"/>
      <c r="CO458" s="50"/>
      <c r="CP458" s="50"/>
      <c r="CQ458" s="50"/>
      <c r="CR458" s="50"/>
      <c r="CS458" s="50"/>
      <c r="CT458" s="50"/>
      <c r="CU458" s="50"/>
      <c r="CV458" s="50"/>
      <c r="CW458" s="50"/>
      <c r="CX458" s="50"/>
      <c r="CY458" s="50"/>
      <c r="CZ458" s="50"/>
      <c r="DA458" s="50"/>
      <c r="DB458" s="50"/>
      <c r="DC458" s="50"/>
      <c r="DD458" s="50"/>
      <c r="DE458" s="50"/>
      <c r="DF458" s="50"/>
      <c r="DG458" s="50"/>
      <c r="DH458" s="50"/>
      <c r="DI458" s="50"/>
      <c r="DJ458" s="50"/>
      <c r="DK458" s="50"/>
      <c r="DL458" s="50"/>
      <c r="DM458" s="50"/>
      <c r="DN458" s="50"/>
      <c r="DO458" s="50"/>
      <c r="DP458" s="50"/>
      <c r="DQ458" s="50"/>
      <c r="DR458" s="50"/>
      <c r="DS458" s="50"/>
      <c r="DT458" s="50"/>
      <c r="DU458" s="50"/>
      <c r="DV458" s="50"/>
      <c r="DW458" s="50"/>
      <c r="DX458" s="50"/>
      <c r="DY458" s="50"/>
      <c r="DZ458" s="50"/>
      <c r="EA458" s="50"/>
      <c r="EB458" s="50"/>
      <c r="EC458" s="50"/>
      <c r="ED458" s="50"/>
      <c r="EE458" s="50"/>
      <c r="EF458" s="50"/>
      <c r="EG458" s="50"/>
      <c r="EH458" s="50"/>
      <c r="EI458" s="50"/>
      <c r="EJ458" s="50"/>
      <c r="EK458" s="50"/>
      <c r="EL458" s="50"/>
      <c r="EM458" s="50"/>
      <c r="EN458" s="50"/>
      <c r="EO458" s="50"/>
      <c r="EP458" s="50"/>
      <c r="EQ458" s="50"/>
      <c r="ER458" s="50"/>
      <c r="ES458" s="50"/>
      <c r="ET458" s="50"/>
      <c r="EU458" s="50"/>
      <c r="EV458" s="50"/>
      <c r="EW458" s="50"/>
      <c r="EX458" s="50"/>
      <c r="EY458" s="50"/>
      <c r="EZ458" s="50"/>
      <c r="FA458" s="50"/>
      <c r="FB458" s="50"/>
      <c r="FC458" s="50"/>
      <c r="FD458" s="50"/>
      <c r="FE458" s="50"/>
      <c r="FF458" s="50"/>
      <c r="FG458" s="50"/>
      <c r="FH458" s="50"/>
      <c r="FI458" s="50"/>
      <c r="FJ458" s="50"/>
      <c r="FK458" s="50"/>
      <c r="FL458" s="50"/>
      <c r="FM458" s="50"/>
      <c r="FN458" s="50"/>
      <c r="FO458" s="50"/>
      <c r="FP458" s="50"/>
      <c r="FQ458" s="50"/>
      <c r="FR458" s="50"/>
      <c r="FS458" s="50"/>
      <c r="FT458" s="50"/>
      <c r="FU458" s="50"/>
      <c r="FV458" s="50"/>
      <c r="FW458" s="50"/>
      <c r="FX458" s="50"/>
      <c r="FY458" s="50"/>
      <c r="FZ458" s="50"/>
      <c r="GA458" s="50"/>
      <c r="GB458" s="50"/>
      <c r="GC458" s="50"/>
      <c r="GD458" s="50"/>
      <c r="GE458" s="50"/>
      <c r="GF458" s="50"/>
    </row>
    <row r="459" spans="1:188">
      <c r="A459" s="147"/>
      <c r="B459" s="147"/>
      <c r="C459" s="51"/>
      <c r="D459" s="52"/>
      <c r="E459" s="47"/>
      <c r="F459" s="47"/>
      <c r="G459" s="47"/>
      <c r="H459" s="47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  <c r="CR459" s="50"/>
      <c r="CS459" s="50"/>
      <c r="CT459" s="50"/>
      <c r="CU459" s="50"/>
      <c r="CV459" s="50"/>
      <c r="CW459" s="50"/>
      <c r="CX459" s="50"/>
      <c r="CY459" s="50"/>
      <c r="CZ459" s="50"/>
      <c r="DA459" s="50"/>
      <c r="DB459" s="50"/>
      <c r="DC459" s="50"/>
      <c r="DD459" s="50"/>
      <c r="DE459" s="50"/>
      <c r="DF459" s="50"/>
      <c r="DG459" s="50"/>
      <c r="DH459" s="50"/>
      <c r="DI459" s="50"/>
      <c r="DJ459" s="50"/>
      <c r="DK459" s="50"/>
      <c r="DL459" s="50"/>
      <c r="DM459" s="50"/>
      <c r="DN459" s="50"/>
      <c r="DO459" s="50"/>
      <c r="DP459" s="50"/>
      <c r="DQ459" s="50"/>
      <c r="DR459" s="50"/>
      <c r="DS459" s="50"/>
      <c r="DT459" s="50"/>
      <c r="DU459" s="50"/>
      <c r="DV459" s="50"/>
      <c r="DW459" s="50"/>
      <c r="DX459" s="50"/>
      <c r="DY459" s="50"/>
      <c r="DZ459" s="50"/>
      <c r="EA459" s="50"/>
      <c r="EB459" s="50"/>
      <c r="EC459" s="50"/>
      <c r="ED459" s="50"/>
      <c r="EE459" s="50"/>
      <c r="EF459" s="50"/>
      <c r="EG459" s="50"/>
      <c r="EH459" s="50"/>
      <c r="EI459" s="50"/>
      <c r="EJ459" s="50"/>
      <c r="EK459" s="50"/>
      <c r="EL459" s="50"/>
      <c r="EM459" s="50"/>
      <c r="EN459" s="50"/>
      <c r="EO459" s="50"/>
      <c r="EP459" s="50"/>
      <c r="EQ459" s="50"/>
      <c r="ER459" s="50"/>
      <c r="ES459" s="50"/>
      <c r="ET459" s="50"/>
      <c r="EU459" s="50"/>
      <c r="EV459" s="50"/>
      <c r="EW459" s="50"/>
      <c r="EX459" s="50"/>
      <c r="EY459" s="50"/>
      <c r="EZ459" s="50"/>
      <c r="FA459" s="50"/>
      <c r="FB459" s="50"/>
      <c r="FC459" s="50"/>
      <c r="FD459" s="50"/>
      <c r="FE459" s="50"/>
      <c r="FF459" s="50"/>
      <c r="FG459" s="50"/>
      <c r="FH459" s="50"/>
      <c r="FI459" s="50"/>
      <c r="FJ459" s="50"/>
      <c r="FK459" s="50"/>
      <c r="FL459" s="50"/>
      <c r="FM459" s="50"/>
      <c r="FN459" s="50"/>
      <c r="FO459" s="50"/>
      <c r="FP459" s="50"/>
      <c r="FQ459" s="50"/>
      <c r="FR459" s="50"/>
      <c r="FS459" s="50"/>
      <c r="FT459" s="50"/>
      <c r="FU459" s="50"/>
      <c r="FV459" s="50"/>
      <c r="FW459" s="50"/>
      <c r="FX459" s="50"/>
      <c r="FY459" s="50"/>
      <c r="FZ459" s="50"/>
      <c r="GA459" s="50"/>
      <c r="GB459" s="50"/>
      <c r="GC459" s="50"/>
      <c r="GD459" s="50"/>
      <c r="GE459" s="50"/>
      <c r="GF459" s="50"/>
    </row>
    <row r="460" spans="1:188">
      <c r="A460" s="147"/>
      <c r="B460" s="147"/>
      <c r="C460" s="51"/>
      <c r="D460" s="52"/>
      <c r="E460" s="47"/>
      <c r="F460" s="47"/>
      <c r="G460" s="47"/>
      <c r="H460" s="47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/>
      <c r="CK460" s="50"/>
      <c r="CL460" s="50"/>
      <c r="CM460" s="50"/>
      <c r="CN460" s="50"/>
      <c r="CO460" s="50"/>
      <c r="CP460" s="50"/>
      <c r="CQ460" s="50"/>
      <c r="CR460" s="50"/>
      <c r="CS460" s="50"/>
      <c r="CT460" s="50"/>
      <c r="CU460" s="50"/>
      <c r="CV460" s="50"/>
      <c r="CW460" s="50"/>
      <c r="CX460" s="50"/>
      <c r="CY460" s="50"/>
      <c r="CZ460" s="50"/>
      <c r="DA460" s="50"/>
      <c r="DB460" s="50"/>
      <c r="DC460" s="50"/>
      <c r="DD460" s="50"/>
      <c r="DE460" s="50"/>
      <c r="DF460" s="50"/>
      <c r="DG460" s="50"/>
      <c r="DH460" s="50"/>
      <c r="DI460" s="50"/>
      <c r="DJ460" s="50"/>
      <c r="DK460" s="50"/>
      <c r="DL460" s="50"/>
      <c r="DM460" s="50"/>
      <c r="DN460" s="50"/>
      <c r="DO460" s="50"/>
      <c r="DP460" s="50"/>
      <c r="DQ460" s="50"/>
      <c r="DR460" s="50"/>
      <c r="DS460" s="50"/>
      <c r="DT460" s="50"/>
      <c r="DU460" s="50"/>
      <c r="DV460" s="50"/>
      <c r="DW460" s="50"/>
      <c r="DX460" s="50"/>
      <c r="DY460" s="50"/>
      <c r="DZ460" s="50"/>
      <c r="EA460" s="50"/>
      <c r="EB460" s="50"/>
      <c r="EC460" s="50"/>
      <c r="ED460" s="50"/>
      <c r="EE460" s="50"/>
      <c r="EF460" s="50"/>
      <c r="EG460" s="50"/>
      <c r="EH460" s="50"/>
      <c r="EI460" s="50"/>
      <c r="EJ460" s="50"/>
      <c r="EK460" s="50"/>
      <c r="EL460" s="50"/>
      <c r="EM460" s="50"/>
      <c r="EN460" s="50"/>
      <c r="EO460" s="50"/>
      <c r="EP460" s="50"/>
      <c r="EQ460" s="50"/>
      <c r="ER460" s="50"/>
      <c r="ES460" s="50"/>
      <c r="ET460" s="50"/>
      <c r="EU460" s="50"/>
      <c r="EV460" s="50"/>
      <c r="EW460" s="50"/>
      <c r="EX460" s="50"/>
      <c r="EY460" s="50"/>
      <c r="EZ460" s="50"/>
      <c r="FA460" s="50"/>
      <c r="FB460" s="50"/>
      <c r="FC460" s="50"/>
      <c r="FD460" s="50"/>
      <c r="FE460" s="50"/>
      <c r="FF460" s="50"/>
      <c r="FG460" s="50"/>
      <c r="FH460" s="50"/>
      <c r="FI460" s="50"/>
      <c r="FJ460" s="50"/>
      <c r="FK460" s="50"/>
      <c r="FL460" s="50"/>
      <c r="FM460" s="50"/>
      <c r="FN460" s="50"/>
      <c r="FO460" s="50"/>
      <c r="FP460" s="50"/>
      <c r="FQ460" s="50"/>
      <c r="FR460" s="50"/>
      <c r="FS460" s="50"/>
      <c r="FT460" s="50"/>
      <c r="FU460" s="50"/>
      <c r="FV460" s="50"/>
      <c r="FW460" s="50"/>
      <c r="FX460" s="50"/>
      <c r="FY460" s="50"/>
      <c r="FZ460" s="50"/>
      <c r="GA460" s="50"/>
      <c r="GB460" s="50"/>
      <c r="GC460" s="50"/>
      <c r="GD460" s="50"/>
      <c r="GE460" s="50"/>
      <c r="GF460" s="50"/>
    </row>
    <row r="461" spans="1:188">
      <c r="A461" s="147"/>
      <c r="B461" s="147"/>
      <c r="C461" s="51"/>
      <c r="D461" s="52"/>
      <c r="E461" s="47"/>
      <c r="F461" s="47"/>
      <c r="G461" s="47"/>
      <c r="H461" s="47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0"/>
      <c r="BR461" s="50"/>
      <c r="BS461" s="50"/>
      <c r="BT461" s="50"/>
      <c r="BU461" s="50"/>
      <c r="BV461" s="50"/>
      <c r="BW461" s="50"/>
      <c r="BX461" s="50"/>
      <c r="BY461" s="50"/>
      <c r="BZ461" s="50"/>
      <c r="CA461" s="50"/>
      <c r="CB461" s="50"/>
      <c r="CC461" s="50"/>
      <c r="CD461" s="50"/>
      <c r="CE461" s="50"/>
      <c r="CF461" s="50"/>
      <c r="CG461" s="50"/>
      <c r="CH461" s="50"/>
      <c r="CI461" s="50"/>
      <c r="CJ461" s="50"/>
      <c r="CK461" s="50"/>
      <c r="CL461" s="50"/>
      <c r="CM461" s="50"/>
      <c r="CN461" s="50"/>
      <c r="CO461" s="50"/>
      <c r="CP461" s="50"/>
      <c r="CQ461" s="50"/>
      <c r="CR461" s="50"/>
      <c r="CS461" s="50"/>
      <c r="CT461" s="50"/>
      <c r="CU461" s="50"/>
      <c r="CV461" s="50"/>
      <c r="CW461" s="50"/>
      <c r="CX461" s="50"/>
      <c r="CY461" s="50"/>
      <c r="CZ461" s="50"/>
      <c r="DA461" s="50"/>
      <c r="DB461" s="50"/>
      <c r="DC461" s="50"/>
      <c r="DD461" s="50"/>
      <c r="DE461" s="50"/>
      <c r="DF461" s="50"/>
      <c r="DG461" s="50"/>
      <c r="DH461" s="50"/>
      <c r="DI461" s="50"/>
      <c r="DJ461" s="50"/>
      <c r="DK461" s="50"/>
      <c r="DL461" s="50"/>
      <c r="DM461" s="50"/>
      <c r="DN461" s="50"/>
      <c r="DO461" s="50"/>
      <c r="DP461" s="50"/>
      <c r="DQ461" s="50"/>
      <c r="DR461" s="50"/>
      <c r="DS461" s="50"/>
      <c r="DT461" s="50"/>
      <c r="DU461" s="50"/>
      <c r="DV461" s="50"/>
      <c r="DW461" s="50"/>
      <c r="DX461" s="50"/>
      <c r="DY461" s="50"/>
      <c r="DZ461" s="50"/>
      <c r="EA461" s="50"/>
      <c r="EB461" s="50"/>
      <c r="EC461" s="50"/>
      <c r="ED461" s="50"/>
      <c r="EE461" s="50"/>
      <c r="EF461" s="50"/>
      <c r="EG461" s="50"/>
      <c r="EH461" s="50"/>
      <c r="EI461" s="50"/>
      <c r="EJ461" s="50"/>
      <c r="EK461" s="50"/>
      <c r="EL461" s="50"/>
      <c r="EM461" s="50"/>
      <c r="EN461" s="50"/>
      <c r="EO461" s="50"/>
      <c r="EP461" s="50"/>
      <c r="EQ461" s="50"/>
      <c r="ER461" s="50"/>
      <c r="ES461" s="50"/>
      <c r="ET461" s="50"/>
      <c r="EU461" s="50"/>
      <c r="EV461" s="50"/>
      <c r="EW461" s="50"/>
      <c r="EX461" s="50"/>
      <c r="EY461" s="50"/>
      <c r="EZ461" s="50"/>
      <c r="FA461" s="50"/>
      <c r="FB461" s="50"/>
      <c r="FC461" s="50"/>
      <c r="FD461" s="50"/>
      <c r="FE461" s="50"/>
      <c r="FF461" s="50"/>
      <c r="FG461" s="50"/>
      <c r="FH461" s="50"/>
      <c r="FI461" s="50"/>
      <c r="FJ461" s="50"/>
      <c r="FK461" s="50"/>
      <c r="FL461" s="50"/>
      <c r="FM461" s="50"/>
      <c r="FN461" s="50"/>
      <c r="FO461" s="50"/>
      <c r="FP461" s="50"/>
      <c r="FQ461" s="50"/>
      <c r="FR461" s="50"/>
      <c r="FS461" s="50"/>
      <c r="FT461" s="50"/>
      <c r="FU461" s="50"/>
      <c r="FV461" s="50"/>
      <c r="FW461" s="50"/>
      <c r="FX461" s="50"/>
      <c r="FY461" s="50"/>
      <c r="FZ461" s="50"/>
      <c r="GA461" s="50"/>
      <c r="GB461" s="50"/>
      <c r="GC461" s="50"/>
      <c r="GD461" s="50"/>
      <c r="GE461" s="50"/>
      <c r="GF461" s="50"/>
    </row>
    <row r="462" spans="1:188">
      <c r="A462" s="147"/>
      <c r="B462" s="147"/>
      <c r="C462" s="51"/>
      <c r="D462" s="52"/>
      <c r="E462" s="47"/>
      <c r="F462" s="47"/>
      <c r="G462" s="47"/>
      <c r="H462" s="47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/>
      <c r="CK462" s="50"/>
      <c r="CL462" s="50"/>
      <c r="CM462" s="50"/>
      <c r="CN462" s="50"/>
      <c r="CO462" s="50"/>
      <c r="CP462" s="50"/>
      <c r="CQ462" s="50"/>
      <c r="CR462" s="50"/>
      <c r="CS462" s="50"/>
      <c r="CT462" s="50"/>
      <c r="CU462" s="50"/>
      <c r="CV462" s="50"/>
      <c r="CW462" s="50"/>
      <c r="CX462" s="50"/>
      <c r="CY462" s="50"/>
      <c r="CZ462" s="50"/>
      <c r="DA462" s="50"/>
      <c r="DB462" s="50"/>
      <c r="DC462" s="50"/>
      <c r="DD462" s="50"/>
      <c r="DE462" s="50"/>
      <c r="DF462" s="50"/>
      <c r="DG462" s="50"/>
      <c r="DH462" s="50"/>
      <c r="DI462" s="50"/>
      <c r="DJ462" s="50"/>
      <c r="DK462" s="50"/>
      <c r="DL462" s="50"/>
      <c r="DM462" s="50"/>
      <c r="DN462" s="50"/>
      <c r="DO462" s="50"/>
      <c r="DP462" s="50"/>
      <c r="DQ462" s="50"/>
      <c r="DR462" s="50"/>
      <c r="DS462" s="50"/>
      <c r="DT462" s="50"/>
      <c r="DU462" s="50"/>
      <c r="DV462" s="50"/>
      <c r="DW462" s="50"/>
      <c r="DX462" s="50"/>
      <c r="DY462" s="50"/>
      <c r="DZ462" s="50"/>
      <c r="EA462" s="50"/>
      <c r="EB462" s="50"/>
      <c r="EC462" s="50"/>
      <c r="ED462" s="50"/>
      <c r="EE462" s="50"/>
      <c r="EF462" s="50"/>
      <c r="EG462" s="50"/>
      <c r="EH462" s="50"/>
      <c r="EI462" s="50"/>
      <c r="EJ462" s="50"/>
      <c r="EK462" s="50"/>
      <c r="EL462" s="50"/>
      <c r="EM462" s="50"/>
      <c r="EN462" s="50"/>
      <c r="EO462" s="50"/>
      <c r="EP462" s="50"/>
      <c r="EQ462" s="50"/>
      <c r="ER462" s="50"/>
      <c r="ES462" s="50"/>
      <c r="ET462" s="50"/>
      <c r="EU462" s="50"/>
      <c r="EV462" s="50"/>
      <c r="EW462" s="50"/>
      <c r="EX462" s="50"/>
      <c r="EY462" s="50"/>
      <c r="EZ462" s="50"/>
      <c r="FA462" s="50"/>
      <c r="FB462" s="50"/>
      <c r="FC462" s="50"/>
      <c r="FD462" s="50"/>
      <c r="FE462" s="50"/>
      <c r="FF462" s="50"/>
      <c r="FG462" s="50"/>
      <c r="FH462" s="50"/>
      <c r="FI462" s="50"/>
      <c r="FJ462" s="50"/>
      <c r="FK462" s="50"/>
      <c r="FL462" s="50"/>
      <c r="FM462" s="50"/>
      <c r="FN462" s="50"/>
      <c r="FO462" s="50"/>
      <c r="FP462" s="50"/>
      <c r="FQ462" s="50"/>
      <c r="FR462" s="50"/>
      <c r="FS462" s="50"/>
      <c r="FT462" s="50"/>
      <c r="FU462" s="50"/>
      <c r="FV462" s="50"/>
      <c r="FW462" s="50"/>
      <c r="FX462" s="50"/>
      <c r="FY462" s="50"/>
      <c r="FZ462" s="50"/>
      <c r="GA462" s="50"/>
      <c r="GB462" s="50"/>
      <c r="GC462" s="50"/>
      <c r="GD462" s="50"/>
      <c r="GE462" s="50"/>
      <c r="GF462" s="50"/>
    </row>
    <row r="463" spans="1:188">
      <c r="A463" s="147"/>
      <c r="B463" s="147"/>
      <c r="C463" s="51"/>
      <c r="D463" s="52"/>
      <c r="E463" s="47"/>
      <c r="F463" s="47"/>
      <c r="G463" s="47"/>
      <c r="H463" s="47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/>
      <c r="CK463" s="50"/>
      <c r="CL463" s="50"/>
      <c r="CM463" s="50"/>
      <c r="CN463" s="50"/>
      <c r="CO463" s="50"/>
      <c r="CP463" s="50"/>
      <c r="CQ463" s="50"/>
      <c r="CR463" s="50"/>
      <c r="CS463" s="50"/>
      <c r="CT463" s="50"/>
      <c r="CU463" s="50"/>
      <c r="CV463" s="50"/>
      <c r="CW463" s="50"/>
      <c r="CX463" s="50"/>
      <c r="CY463" s="50"/>
      <c r="CZ463" s="50"/>
      <c r="DA463" s="50"/>
      <c r="DB463" s="50"/>
      <c r="DC463" s="50"/>
      <c r="DD463" s="50"/>
      <c r="DE463" s="50"/>
      <c r="DF463" s="50"/>
      <c r="DG463" s="50"/>
      <c r="DH463" s="50"/>
      <c r="DI463" s="50"/>
      <c r="DJ463" s="50"/>
      <c r="DK463" s="50"/>
      <c r="DL463" s="50"/>
      <c r="DM463" s="50"/>
      <c r="DN463" s="50"/>
      <c r="DO463" s="50"/>
      <c r="DP463" s="50"/>
      <c r="DQ463" s="50"/>
      <c r="DR463" s="50"/>
      <c r="DS463" s="50"/>
      <c r="DT463" s="50"/>
      <c r="DU463" s="50"/>
      <c r="DV463" s="50"/>
      <c r="DW463" s="50"/>
      <c r="DX463" s="50"/>
      <c r="DY463" s="50"/>
      <c r="DZ463" s="50"/>
      <c r="EA463" s="50"/>
      <c r="EB463" s="50"/>
      <c r="EC463" s="50"/>
      <c r="ED463" s="50"/>
      <c r="EE463" s="50"/>
      <c r="EF463" s="50"/>
      <c r="EG463" s="50"/>
      <c r="EH463" s="50"/>
      <c r="EI463" s="50"/>
      <c r="EJ463" s="50"/>
      <c r="EK463" s="50"/>
      <c r="EL463" s="50"/>
      <c r="EM463" s="50"/>
      <c r="EN463" s="50"/>
      <c r="EO463" s="50"/>
      <c r="EP463" s="50"/>
      <c r="EQ463" s="50"/>
      <c r="ER463" s="50"/>
      <c r="ES463" s="50"/>
      <c r="ET463" s="50"/>
      <c r="EU463" s="50"/>
      <c r="EV463" s="50"/>
      <c r="EW463" s="50"/>
      <c r="EX463" s="50"/>
      <c r="EY463" s="50"/>
      <c r="EZ463" s="50"/>
      <c r="FA463" s="50"/>
      <c r="FB463" s="50"/>
      <c r="FC463" s="50"/>
      <c r="FD463" s="50"/>
      <c r="FE463" s="50"/>
      <c r="FF463" s="50"/>
      <c r="FG463" s="50"/>
      <c r="FH463" s="50"/>
      <c r="FI463" s="50"/>
      <c r="FJ463" s="50"/>
      <c r="FK463" s="50"/>
      <c r="FL463" s="50"/>
      <c r="FM463" s="50"/>
      <c r="FN463" s="50"/>
      <c r="FO463" s="50"/>
      <c r="FP463" s="50"/>
      <c r="FQ463" s="50"/>
      <c r="FR463" s="50"/>
      <c r="FS463" s="50"/>
      <c r="FT463" s="50"/>
      <c r="FU463" s="50"/>
      <c r="FV463" s="50"/>
      <c r="FW463" s="50"/>
      <c r="FX463" s="50"/>
      <c r="FY463" s="50"/>
      <c r="FZ463" s="50"/>
      <c r="GA463" s="50"/>
      <c r="GB463" s="50"/>
      <c r="GC463" s="50"/>
      <c r="GD463" s="50"/>
      <c r="GE463" s="50"/>
      <c r="GF463" s="50"/>
    </row>
    <row r="464" spans="1:188">
      <c r="A464" s="147"/>
      <c r="B464" s="147"/>
      <c r="C464" s="51"/>
      <c r="D464" s="52"/>
      <c r="E464" s="47"/>
      <c r="F464" s="47"/>
      <c r="G464" s="47"/>
      <c r="H464" s="47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/>
      <c r="CK464" s="50"/>
      <c r="CL464" s="50"/>
      <c r="CM464" s="50"/>
      <c r="CN464" s="50"/>
      <c r="CO464" s="50"/>
      <c r="CP464" s="50"/>
      <c r="CQ464" s="50"/>
      <c r="CR464" s="50"/>
      <c r="CS464" s="50"/>
      <c r="CT464" s="50"/>
      <c r="CU464" s="50"/>
      <c r="CV464" s="50"/>
      <c r="CW464" s="50"/>
      <c r="CX464" s="50"/>
      <c r="CY464" s="50"/>
      <c r="CZ464" s="50"/>
      <c r="DA464" s="50"/>
      <c r="DB464" s="50"/>
      <c r="DC464" s="50"/>
      <c r="DD464" s="50"/>
      <c r="DE464" s="50"/>
      <c r="DF464" s="50"/>
      <c r="DG464" s="50"/>
      <c r="DH464" s="50"/>
      <c r="DI464" s="50"/>
      <c r="DJ464" s="50"/>
      <c r="DK464" s="50"/>
      <c r="DL464" s="50"/>
      <c r="DM464" s="50"/>
      <c r="DN464" s="50"/>
      <c r="DO464" s="50"/>
      <c r="DP464" s="50"/>
      <c r="DQ464" s="50"/>
      <c r="DR464" s="50"/>
      <c r="DS464" s="50"/>
      <c r="DT464" s="50"/>
      <c r="DU464" s="50"/>
      <c r="DV464" s="50"/>
      <c r="DW464" s="50"/>
      <c r="DX464" s="50"/>
      <c r="DY464" s="50"/>
      <c r="DZ464" s="50"/>
      <c r="EA464" s="50"/>
      <c r="EB464" s="50"/>
      <c r="EC464" s="50"/>
      <c r="ED464" s="50"/>
      <c r="EE464" s="50"/>
      <c r="EF464" s="50"/>
      <c r="EG464" s="50"/>
      <c r="EH464" s="50"/>
      <c r="EI464" s="50"/>
      <c r="EJ464" s="50"/>
      <c r="EK464" s="50"/>
      <c r="EL464" s="50"/>
      <c r="EM464" s="50"/>
      <c r="EN464" s="50"/>
      <c r="EO464" s="50"/>
      <c r="EP464" s="50"/>
      <c r="EQ464" s="50"/>
      <c r="ER464" s="50"/>
      <c r="ES464" s="50"/>
      <c r="ET464" s="50"/>
      <c r="EU464" s="50"/>
      <c r="EV464" s="50"/>
      <c r="EW464" s="50"/>
      <c r="EX464" s="50"/>
      <c r="EY464" s="50"/>
      <c r="EZ464" s="50"/>
      <c r="FA464" s="50"/>
      <c r="FB464" s="50"/>
      <c r="FC464" s="50"/>
      <c r="FD464" s="50"/>
      <c r="FE464" s="50"/>
      <c r="FF464" s="50"/>
      <c r="FG464" s="50"/>
      <c r="FH464" s="50"/>
      <c r="FI464" s="50"/>
      <c r="FJ464" s="50"/>
      <c r="FK464" s="50"/>
      <c r="FL464" s="50"/>
      <c r="FM464" s="50"/>
      <c r="FN464" s="50"/>
      <c r="FO464" s="50"/>
      <c r="FP464" s="50"/>
      <c r="FQ464" s="50"/>
      <c r="FR464" s="50"/>
      <c r="FS464" s="50"/>
      <c r="FT464" s="50"/>
      <c r="FU464" s="50"/>
      <c r="FV464" s="50"/>
      <c r="FW464" s="50"/>
      <c r="FX464" s="50"/>
      <c r="FY464" s="50"/>
      <c r="FZ464" s="50"/>
      <c r="GA464" s="50"/>
      <c r="GB464" s="50"/>
      <c r="GC464" s="50"/>
      <c r="GD464" s="50"/>
      <c r="GE464" s="50"/>
      <c r="GF464" s="50"/>
    </row>
    <row r="465" spans="1:188">
      <c r="A465" s="147"/>
      <c r="B465" s="147"/>
      <c r="C465" s="51"/>
      <c r="D465" s="52"/>
      <c r="E465" s="47"/>
      <c r="F465" s="47"/>
      <c r="G465" s="47"/>
      <c r="H465" s="47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/>
      <c r="CK465" s="50"/>
      <c r="CL465" s="50"/>
      <c r="CM465" s="50"/>
      <c r="CN465" s="50"/>
      <c r="CO465" s="50"/>
      <c r="CP465" s="50"/>
      <c r="CQ465" s="50"/>
      <c r="CR465" s="50"/>
      <c r="CS465" s="50"/>
      <c r="CT465" s="50"/>
      <c r="CU465" s="50"/>
      <c r="CV465" s="50"/>
      <c r="CW465" s="50"/>
      <c r="CX465" s="50"/>
      <c r="CY465" s="50"/>
      <c r="CZ465" s="50"/>
      <c r="DA465" s="50"/>
      <c r="DB465" s="50"/>
      <c r="DC465" s="50"/>
      <c r="DD465" s="50"/>
      <c r="DE465" s="50"/>
      <c r="DF465" s="50"/>
      <c r="DG465" s="50"/>
      <c r="DH465" s="50"/>
      <c r="DI465" s="50"/>
      <c r="DJ465" s="50"/>
      <c r="DK465" s="50"/>
      <c r="DL465" s="50"/>
      <c r="DM465" s="50"/>
      <c r="DN465" s="50"/>
      <c r="DO465" s="50"/>
      <c r="DP465" s="50"/>
      <c r="DQ465" s="50"/>
      <c r="DR465" s="50"/>
      <c r="DS465" s="50"/>
      <c r="DT465" s="50"/>
      <c r="DU465" s="50"/>
      <c r="DV465" s="50"/>
      <c r="DW465" s="50"/>
      <c r="DX465" s="50"/>
      <c r="DY465" s="50"/>
      <c r="DZ465" s="50"/>
      <c r="EA465" s="50"/>
      <c r="EB465" s="50"/>
      <c r="EC465" s="50"/>
      <c r="ED465" s="50"/>
      <c r="EE465" s="50"/>
      <c r="EF465" s="50"/>
      <c r="EG465" s="50"/>
      <c r="EH465" s="50"/>
      <c r="EI465" s="50"/>
      <c r="EJ465" s="50"/>
      <c r="EK465" s="50"/>
      <c r="EL465" s="50"/>
      <c r="EM465" s="50"/>
      <c r="EN465" s="50"/>
      <c r="EO465" s="50"/>
      <c r="EP465" s="50"/>
      <c r="EQ465" s="50"/>
      <c r="ER465" s="50"/>
      <c r="ES465" s="50"/>
      <c r="ET465" s="50"/>
      <c r="EU465" s="50"/>
      <c r="EV465" s="50"/>
      <c r="EW465" s="50"/>
      <c r="EX465" s="50"/>
      <c r="EY465" s="50"/>
      <c r="EZ465" s="50"/>
      <c r="FA465" s="50"/>
      <c r="FB465" s="50"/>
      <c r="FC465" s="50"/>
      <c r="FD465" s="50"/>
      <c r="FE465" s="50"/>
      <c r="FF465" s="50"/>
      <c r="FG465" s="50"/>
      <c r="FH465" s="50"/>
      <c r="FI465" s="50"/>
      <c r="FJ465" s="50"/>
      <c r="FK465" s="50"/>
      <c r="FL465" s="50"/>
      <c r="FM465" s="50"/>
      <c r="FN465" s="50"/>
      <c r="FO465" s="50"/>
      <c r="FP465" s="50"/>
      <c r="FQ465" s="50"/>
      <c r="FR465" s="50"/>
      <c r="FS465" s="50"/>
      <c r="FT465" s="50"/>
      <c r="FU465" s="50"/>
      <c r="FV465" s="50"/>
      <c r="FW465" s="50"/>
      <c r="FX465" s="50"/>
      <c r="FY465" s="50"/>
      <c r="FZ465" s="50"/>
      <c r="GA465" s="50"/>
      <c r="GB465" s="50"/>
      <c r="GC465" s="50"/>
      <c r="GD465" s="50"/>
      <c r="GE465" s="50"/>
      <c r="GF465" s="50"/>
    </row>
    <row r="466" spans="1:188">
      <c r="A466" s="147"/>
      <c r="B466" s="147"/>
      <c r="C466" s="51"/>
      <c r="D466" s="52"/>
      <c r="E466" s="47"/>
      <c r="F466" s="47"/>
      <c r="G466" s="47"/>
      <c r="H466" s="47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  <c r="BM466" s="50"/>
      <c r="BN466" s="50"/>
      <c r="BO466" s="50"/>
      <c r="BP466" s="50"/>
      <c r="BQ466" s="50"/>
      <c r="BR466" s="50"/>
      <c r="BS466" s="50"/>
      <c r="BT466" s="50"/>
      <c r="BU466" s="50"/>
      <c r="BV466" s="50"/>
      <c r="BW466" s="50"/>
      <c r="BX466" s="50"/>
      <c r="BY466" s="50"/>
      <c r="BZ466" s="50"/>
      <c r="CA466" s="50"/>
      <c r="CB466" s="50"/>
      <c r="CC466" s="50"/>
      <c r="CD466" s="50"/>
      <c r="CE466" s="50"/>
      <c r="CF466" s="50"/>
      <c r="CG466" s="50"/>
      <c r="CH466" s="50"/>
      <c r="CI466" s="50"/>
      <c r="CJ466" s="50"/>
      <c r="CK466" s="50"/>
      <c r="CL466" s="50"/>
      <c r="CM466" s="50"/>
      <c r="CN466" s="50"/>
      <c r="CO466" s="50"/>
      <c r="CP466" s="50"/>
      <c r="CQ466" s="50"/>
      <c r="CR466" s="50"/>
      <c r="CS466" s="50"/>
      <c r="CT466" s="50"/>
      <c r="CU466" s="50"/>
      <c r="CV466" s="50"/>
      <c r="CW466" s="50"/>
      <c r="CX466" s="50"/>
      <c r="CY466" s="50"/>
      <c r="CZ466" s="50"/>
      <c r="DA466" s="50"/>
      <c r="DB466" s="50"/>
      <c r="DC466" s="50"/>
      <c r="DD466" s="50"/>
      <c r="DE466" s="50"/>
      <c r="DF466" s="50"/>
      <c r="DG466" s="50"/>
      <c r="DH466" s="50"/>
      <c r="DI466" s="50"/>
      <c r="DJ466" s="50"/>
      <c r="DK466" s="50"/>
      <c r="DL466" s="50"/>
      <c r="DM466" s="50"/>
      <c r="DN466" s="50"/>
      <c r="DO466" s="50"/>
      <c r="DP466" s="50"/>
      <c r="DQ466" s="50"/>
      <c r="DR466" s="50"/>
      <c r="DS466" s="50"/>
      <c r="DT466" s="50"/>
      <c r="DU466" s="50"/>
      <c r="DV466" s="50"/>
      <c r="DW466" s="50"/>
      <c r="DX466" s="50"/>
      <c r="DY466" s="50"/>
      <c r="DZ466" s="50"/>
      <c r="EA466" s="50"/>
      <c r="EB466" s="50"/>
      <c r="EC466" s="50"/>
      <c r="ED466" s="50"/>
      <c r="EE466" s="50"/>
      <c r="EF466" s="50"/>
      <c r="EG466" s="50"/>
      <c r="EH466" s="50"/>
      <c r="EI466" s="50"/>
      <c r="EJ466" s="50"/>
      <c r="EK466" s="50"/>
      <c r="EL466" s="50"/>
      <c r="EM466" s="50"/>
      <c r="EN466" s="50"/>
      <c r="EO466" s="50"/>
      <c r="EP466" s="50"/>
      <c r="EQ466" s="50"/>
      <c r="ER466" s="50"/>
      <c r="ES466" s="50"/>
      <c r="ET466" s="50"/>
      <c r="EU466" s="50"/>
      <c r="EV466" s="50"/>
      <c r="EW466" s="50"/>
      <c r="EX466" s="50"/>
      <c r="EY466" s="50"/>
      <c r="EZ466" s="50"/>
      <c r="FA466" s="50"/>
      <c r="FB466" s="50"/>
      <c r="FC466" s="50"/>
      <c r="FD466" s="50"/>
      <c r="FE466" s="50"/>
      <c r="FF466" s="50"/>
      <c r="FG466" s="50"/>
      <c r="FH466" s="50"/>
      <c r="FI466" s="50"/>
      <c r="FJ466" s="50"/>
      <c r="FK466" s="50"/>
      <c r="FL466" s="50"/>
      <c r="FM466" s="50"/>
      <c r="FN466" s="50"/>
      <c r="FO466" s="50"/>
      <c r="FP466" s="50"/>
      <c r="FQ466" s="50"/>
      <c r="FR466" s="50"/>
      <c r="FS466" s="50"/>
      <c r="FT466" s="50"/>
      <c r="FU466" s="50"/>
      <c r="FV466" s="50"/>
      <c r="FW466" s="50"/>
      <c r="FX466" s="50"/>
      <c r="FY466" s="50"/>
      <c r="FZ466" s="50"/>
      <c r="GA466" s="50"/>
      <c r="GB466" s="50"/>
      <c r="GC466" s="50"/>
      <c r="GD466" s="50"/>
      <c r="GE466" s="50"/>
      <c r="GF466" s="50"/>
    </row>
    <row r="467" spans="1:188">
      <c r="A467" s="147"/>
      <c r="B467" s="147"/>
      <c r="C467" s="51"/>
      <c r="D467" s="52"/>
      <c r="E467" s="47"/>
      <c r="F467" s="47"/>
      <c r="G467" s="47"/>
      <c r="H467" s="47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0"/>
      <c r="BR467" s="50"/>
      <c r="BS467" s="50"/>
      <c r="BT467" s="50"/>
      <c r="BU467" s="50"/>
      <c r="BV467" s="50"/>
      <c r="BW467" s="50"/>
      <c r="BX467" s="50"/>
      <c r="BY467" s="50"/>
      <c r="BZ467" s="50"/>
      <c r="CA467" s="50"/>
      <c r="CB467" s="50"/>
      <c r="CC467" s="50"/>
      <c r="CD467" s="50"/>
      <c r="CE467" s="50"/>
      <c r="CF467" s="50"/>
      <c r="CG467" s="50"/>
      <c r="CH467" s="50"/>
      <c r="CI467" s="50"/>
      <c r="CJ467" s="50"/>
      <c r="CK467" s="50"/>
      <c r="CL467" s="50"/>
      <c r="CM467" s="50"/>
      <c r="CN467" s="50"/>
      <c r="CO467" s="50"/>
      <c r="CP467" s="50"/>
      <c r="CQ467" s="50"/>
      <c r="CR467" s="50"/>
      <c r="CS467" s="50"/>
      <c r="CT467" s="50"/>
      <c r="CU467" s="50"/>
      <c r="CV467" s="50"/>
      <c r="CW467" s="50"/>
      <c r="CX467" s="50"/>
      <c r="CY467" s="50"/>
      <c r="CZ467" s="50"/>
      <c r="DA467" s="50"/>
      <c r="DB467" s="50"/>
      <c r="DC467" s="50"/>
      <c r="DD467" s="50"/>
      <c r="DE467" s="50"/>
      <c r="DF467" s="50"/>
      <c r="DG467" s="50"/>
      <c r="DH467" s="50"/>
      <c r="DI467" s="50"/>
      <c r="DJ467" s="50"/>
      <c r="DK467" s="50"/>
      <c r="DL467" s="50"/>
      <c r="DM467" s="50"/>
      <c r="DN467" s="50"/>
      <c r="DO467" s="50"/>
      <c r="DP467" s="50"/>
      <c r="DQ467" s="50"/>
      <c r="DR467" s="50"/>
      <c r="DS467" s="50"/>
      <c r="DT467" s="50"/>
      <c r="DU467" s="50"/>
      <c r="DV467" s="50"/>
      <c r="DW467" s="50"/>
      <c r="DX467" s="50"/>
      <c r="DY467" s="50"/>
      <c r="DZ467" s="50"/>
      <c r="EA467" s="50"/>
      <c r="EB467" s="50"/>
      <c r="EC467" s="50"/>
      <c r="ED467" s="50"/>
      <c r="EE467" s="50"/>
      <c r="EF467" s="50"/>
      <c r="EG467" s="50"/>
      <c r="EH467" s="50"/>
      <c r="EI467" s="50"/>
      <c r="EJ467" s="50"/>
      <c r="EK467" s="50"/>
      <c r="EL467" s="50"/>
      <c r="EM467" s="50"/>
      <c r="EN467" s="50"/>
      <c r="EO467" s="50"/>
      <c r="EP467" s="50"/>
      <c r="EQ467" s="50"/>
      <c r="ER467" s="50"/>
      <c r="ES467" s="50"/>
      <c r="ET467" s="50"/>
      <c r="EU467" s="50"/>
      <c r="EV467" s="50"/>
      <c r="EW467" s="50"/>
      <c r="EX467" s="50"/>
      <c r="EY467" s="50"/>
      <c r="EZ467" s="50"/>
      <c r="FA467" s="50"/>
      <c r="FB467" s="50"/>
      <c r="FC467" s="50"/>
      <c r="FD467" s="50"/>
      <c r="FE467" s="50"/>
      <c r="FF467" s="50"/>
      <c r="FG467" s="50"/>
      <c r="FH467" s="50"/>
      <c r="FI467" s="50"/>
      <c r="FJ467" s="50"/>
      <c r="FK467" s="50"/>
      <c r="FL467" s="50"/>
      <c r="FM467" s="50"/>
      <c r="FN467" s="50"/>
      <c r="FO467" s="50"/>
      <c r="FP467" s="50"/>
      <c r="FQ467" s="50"/>
      <c r="FR467" s="50"/>
      <c r="FS467" s="50"/>
      <c r="FT467" s="50"/>
      <c r="FU467" s="50"/>
      <c r="FV467" s="50"/>
      <c r="FW467" s="50"/>
      <c r="FX467" s="50"/>
      <c r="FY467" s="50"/>
      <c r="FZ467" s="50"/>
      <c r="GA467" s="50"/>
      <c r="GB467" s="50"/>
      <c r="GC467" s="50"/>
      <c r="GD467" s="50"/>
      <c r="GE467" s="50"/>
      <c r="GF467" s="50"/>
    </row>
    <row r="468" spans="1:188">
      <c r="A468" s="147"/>
      <c r="B468" s="147"/>
      <c r="C468" s="51"/>
      <c r="D468" s="52"/>
      <c r="E468" s="47"/>
      <c r="F468" s="47"/>
      <c r="G468" s="47"/>
      <c r="H468" s="47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/>
      <c r="CK468" s="50"/>
      <c r="CL468" s="50"/>
      <c r="CM468" s="50"/>
      <c r="CN468" s="50"/>
      <c r="CO468" s="50"/>
      <c r="CP468" s="50"/>
      <c r="CQ468" s="50"/>
      <c r="CR468" s="50"/>
      <c r="CS468" s="50"/>
      <c r="CT468" s="50"/>
      <c r="CU468" s="50"/>
      <c r="CV468" s="50"/>
      <c r="CW468" s="50"/>
      <c r="CX468" s="50"/>
      <c r="CY468" s="50"/>
      <c r="CZ468" s="50"/>
      <c r="DA468" s="50"/>
      <c r="DB468" s="50"/>
      <c r="DC468" s="50"/>
      <c r="DD468" s="50"/>
      <c r="DE468" s="50"/>
      <c r="DF468" s="50"/>
      <c r="DG468" s="50"/>
      <c r="DH468" s="50"/>
      <c r="DI468" s="50"/>
      <c r="DJ468" s="50"/>
      <c r="DK468" s="50"/>
      <c r="DL468" s="50"/>
      <c r="DM468" s="50"/>
      <c r="DN468" s="50"/>
      <c r="DO468" s="50"/>
      <c r="DP468" s="50"/>
      <c r="DQ468" s="50"/>
      <c r="DR468" s="50"/>
      <c r="DS468" s="50"/>
      <c r="DT468" s="50"/>
      <c r="DU468" s="50"/>
      <c r="DV468" s="50"/>
      <c r="DW468" s="50"/>
      <c r="DX468" s="50"/>
      <c r="DY468" s="50"/>
      <c r="DZ468" s="50"/>
      <c r="EA468" s="50"/>
      <c r="EB468" s="50"/>
      <c r="EC468" s="50"/>
      <c r="ED468" s="50"/>
      <c r="EE468" s="50"/>
      <c r="EF468" s="50"/>
      <c r="EG468" s="50"/>
      <c r="EH468" s="50"/>
      <c r="EI468" s="50"/>
      <c r="EJ468" s="50"/>
      <c r="EK468" s="50"/>
      <c r="EL468" s="50"/>
      <c r="EM468" s="50"/>
      <c r="EN468" s="50"/>
      <c r="EO468" s="50"/>
      <c r="EP468" s="50"/>
      <c r="EQ468" s="50"/>
      <c r="ER468" s="50"/>
      <c r="ES468" s="50"/>
      <c r="ET468" s="50"/>
      <c r="EU468" s="50"/>
      <c r="EV468" s="50"/>
      <c r="EW468" s="50"/>
      <c r="EX468" s="50"/>
      <c r="EY468" s="50"/>
      <c r="EZ468" s="50"/>
      <c r="FA468" s="50"/>
      <c r="FB468" s="50"/>
      <c r="FC468" s="50"/>
      <c r="FD468" s="50"/>
      <c r="FE468" s="50"/>
      <c r="FF468" s="50"/>
      <c r="FG468" s="50"/>
      <c r="FH468" s="50"/>
      <c r="FI468" s="50"/>
      <c r="FJ468" s="50"/>
      <c r="FK468" s="50"/>
      <c r="FL468" s="50"/>
      <c r="FM468" s="50"/>
      <c r="FN468" s="50"/>
      <c r="FO468" s="50"/>
      <c r="FP468" s="50"/>
      <c r="FQ468" s="50"/>
      <c r="FR468" s="50"/>
      <c r="FS468" s="50"/>
      <c r="FT468" s="50"/>
      <c r="FU468" s="50"/>
      <c r="FV468" s="50"/>
      <c r="FW468" s="50"/>
      <c r="FX468" s="50"/>
      <c r="FY468" s="50"/>
      <c r="FZ468" s="50"/>
      <c r="GA468" s="50"/>
      <c r="GB468" s="50"/>
      <c r="GC468" s="50"/>
      <c r="GD468" s="50"/>
      <c r="GE468" s="50"/>
      <c r="GF468" s="50"/>
    </row>
    <row r="469" spans="1:188">
      <c r="A469" s="147"/>
      <c r="B469" s="147"/>
      <c r="C469" s="51"/>
      <c r="D469" s="52"/>
      <c r="E469" s="47"/>
      <c r="F469" s="47"/>
      <c r="G469" s="47"/>
      <c r="H469" s="47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  <c r="CE469" s="50"/>
      <c r="CF469" s="50"/>
      <c r="CG469" s="50"/>
      <c r="CH469" s="50"/>
      <c r="CI469" s="50"/>
      <c r="CJ469" s="50"/>
      <c r="CK469" s="50"/>
      <c r="CL469" s="50"/>
      <c r="CM469" s="50"/>
      <c r="CN469" s="50"/>
      <c r="CO469" s="50"/>
      <c r="CP469" s="50"/>
      <c r="CQ469" s="50"/>
      <c r="CR469" s="50"/>
      <c r="CS469" s="50"/>
      <c r="CT469" s="50"/>
      <c r="CU469" s="50"/>
      <c r="CV469" s="50"/>
      <c r="CW469" s="50"/>
      <c r="CX469" s="50"/>
      <c r="CY469" s="50"/>
      <c r="CZ469" s="50"/>
      <c r="DA469" s="50"/>
      <c r="DB469" s="50"/>
      <c r="DC469" s="50"/>
      <c r="DD469" s="50"/>
      <c r="DE469" s="50"/>
      <c r="DF469" s="50"/>
      <c r="DG469" s="50"/>
      <c r="DH469" s="50"/>
      <c r="DI469" s="50"/>
      <c r="DJ469" s="50"/>
      <c r="DK469" s="50"/>
      <c r="DL469" s="50"/>
      <c r="DM469" s="50"/>
      <c r="DN469" s="50"/>
      <c r="DO469" s="50"/>
      <c r="DP469" s="50"/>
      <c r="DQ469" s="50"/>
      <c r="DR469" s="50"/>
      <c r="DS469" s="50"/>
      <c r="DT469" s="50"/>
      <c r="DU469" s="50"/>
      <c r="DV469" s="50"/>
      <c r="DW469" s="50"/>
      <c r="DX469" s="50"/>
      <c r="DY469" s="50"/>
      <c r="DZ469" s="50"/>
      <c r="EA469" s="50"/>
      <c r="EB469" s="50"/>
      <c r="EC469" s="50"/>
      <c r="ED469" s="50"/>
      <c r="EE469" s="50"/>
      <c r="EF469" s="50"/>
      <c r="EG469" s="50"/>
      <c r="EH469" s="50"/>
      <c r="EI469" s="50"/>
      <c r="EJ469" s="50"/>
      <c r="EK469" s="50"/>
      <c r="EL469" s="50"/>
      <c r="EM469" s="50"/>
      <c r="EN469" s="50"/>
      <c r="EO469" s="50"/>
      <c r="EP469" s="50"/>
      <c r="EQ469" s="50"/>
      <c r="ER469" s="50"/>
      <c r="ES469" s="50"/>
      <c r="ET469" s="50"/>
      <c r="EU469" s="50"/>
      <c r="EV469" s="50"/>
      <c r="EW469" s="50"/>
      <c r="EX469" s="50"/>
      <c r="EY469" s="50"/>
      <c r="EZ469" s="50"/>
      <c r="FA469" s="50"/>
      <c r="FB469" s="50"/>
      <c r="FC469" s="50"/>
      <c r="FD469" s="50"/>
      <c r="FE469" s="50"/>
      <c r="FF469" s="50"/>
      <c r="FG469" s="50"/>
      <c r="FH469" s="50"/>
      <c r="FI469" s="50"/>
      <c r="FJ469" s="50"/>
      <c r="FK469" s="50"/>
      <c r="FL469" s="50"/>
      <c r="FM469" s="50"/>
      <c r="FN469" s="50"/>
      <c r="FO469" s="50"/>
      <c r="FP469" s="50"/>
      <c r="FQ469" s="50"/>
      <c r="FR469" s="50"/>
      <c r="FS469" s="50"/>
      <c r="FT469" s="50"/>
      <c r="FU469" s="50"/>
      <c r="FV469" s="50"/>
      <c r="FW469" s="50"/>
      <c r="FX469" s="50"/>
      <c r="FY469" s="50"/>
      <c r="FZ469" s="50"/>
      <c r="GA469" s="50"/>
      <c r="GB469" s="50"/>
      <c r="GC469" s="50"/>
      <c r="GD469" s="50"/>
      <c r="GE469" s="50"/>
      <c r="GF469" s="50"/>
    </row>
    <row r="470" spans="1:188">
      <c r="A470" s="147"/>
      <c r="B470" s="147"/>
      <c r="C470" s="51"/>
      <c r="D470" s="52"/>
      <c r="E470" s="47"/>
      <c r="F470" s="47"/>
      <c r="G470" s="47"/>
      <c r="H470" s="47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0"/>
      <c r="BR470" s="50"/>
      <c r="BS470" s="50"/>
      <c r="BT470" s="50"/>
      <c r="BU470" s="50"/>
      <c r="BV470" s="50"/>
      <c r="BW470" s="50"/>
      <c r="BX470" s="50"/>
      <c r="BY470" s="50"/>
      <c r="BZ470" s="50"/>
      <c r="CA470" s="50"/>
      <c r="CB470" s="50"/>
      <c r="CC470" s="50"/>
      <c r="CD470" s="50"/>
      <c r="CE470" s="50"/>
      <c r="CF470" s="50"/>
      <c r="CG470" s="50"/>
      <c r="CH470" s="50"/>
      <c r="CI470" s="50"/>
      <c r="CJ470" s="50"/>
      <c r="CK470" s="50"/>
      <c r="CL470" s="50"/>
      <c r="CM470" s="50"/>
      <c r="CN470" s="50"/>
      <c r="CO470" s="50"/>
      <c r="CP470" s="50"/>
      <c r="CQ470" s="50"/>
      <c r="CR470" s="50"/>
      <c r="CS470" s="50"/>
      <c r="CT470" s="50"/>
      <c r="CU470" s="50"/>
      <c r="CV470" s="50"/>
      <c r="CW470" s="50"/>
      <c r="CX470" s="50"/>
      <c r="CY470" s="50"/>
      <c r="CZ470" s="50"/>
      <c r="DA470" s="50"/>
      <c r="DB470" s="50"/>
      <c r="DC470" s="50"/>
      <c r="DD470" s="50"/>
      <c r="DE470" s="50"/>
      <c r="DF470" s="50"/>
      <c r="DG470" s="50"/>
      <c r="DH470" s="50"/>
      <c r="DI470" s="50"/>
      <c r="DJ470" s="50"/>
      <c r="DK470" s="50"/>
      <c r="DL470" s="50"/>
      <c r="DM470" s="50"/>
      <c r="DN470" s="50"/>
      <c r="DO470" s="50"/>
      <c r="DP470" s="50"/>
      <c r="DQ470" s="50"/>
      <c r="DR470" s="50"/>
      <c r="DS470" s="50"/>
      <c r="DT470" s="50"/>
      <c r="DU470" s="50"/>
      <c r="DV470" s="50"/>
      <c r="DW470" s="50"/>
      <c r="DX470" s="50"/>
      <c r="DY470" s="50"/>
      <c r="DZ470" s="50"/>
      <c r="EA470" s="50"/>
      <c r="EB470" s="50"/>
      <c r="EC470" s="50"/>
      <c r="ED470" s="50"/>
      <c r="EE470" s="50"/>
      <c r="EF470" s="50"/>
      <c r="EG470" s="50"/>
      <c r="EH470" s="50"/>
      <c r="EI470" s="50"/>
      <c r="EJ470" s="50"/>
      <c r="EK470" s="50"/>
      <c r="EL470" s="50"/>
      <c r="EM470" s="50"/>
      <c r="EN470" s="50"/>
      <c r="EO470" s="50"/>
      <c r="EP470" s="50"/>
      <c r="EQ470" s="50"/>
      <c r="ER470" s="50"/>
      <c r="ES470" s="50"/>
      <c r="ET470" s="50"/>
      <c r="EU470" s="50"/>
      <c r="EV470" s="50"/>
      <c r="EW470" s="50"/>
      <c r="EX470" s="50"/>
      <c r="EY470" s="50"/>
      <c r="EZ470" s="50"/>
      <c r="FA470" s="50"/>
      <c r="FB470" s="50"/>
      <c r="FC470" s="50"/>
      <c r="FD470" s="50"/>
      <c r="FE470" s="50"/>
      <c r="FF470" s="50"/>
      <c r="FG470" s="50"/>
      <c r="FH470" s="50"/>
      <c r="FI470" s="50"/>
      <c r="FJ470" s="50"/>
      <c r="FK470" s="50"/>
      <c r="FL470" s="50"/>
      <c r="FM470" s="50"/>
      <c r="FN470" s="50"/>
      <c r="FO470" s="50"/>
      <c r="FP470" s="50"/>
      <c r="FQ470" s="50"/>
      <c r="FR470" s="50"/>
      <c r="FS470" s="50"/>
      <c r="FT470" s="50"/>
      <c r="FU470" s="50"/>
      <c r="FV470" s="50"/>
      <c r="FW470" s="50"/>
      <c r="FX470" s="50"/>
      <c r="FY470" s="50"/>
      <c r="FZ470" s="50"/>
      <c r="GA470" s="50"/>
      <c r="GB470" s="50"/>
      <c r="GC470" s="50"/>
      <c r="GD470" s="50"/>
      <c r="GE470" s="50"/>
      <c r="GF470" s="50"/>
    </row>
    <row r="471" spans="1:188">
      <c r="A471" s="147"/>
      <c r="B471" s="147"/>
      <c r="C471" s="51"/>
      <c r="D471" s="52"/>
      <c r="E471" s="47"/>
      <c r="F471" s="47"/>
      <c r="G471" s="47"/>
      <c r="H471" s="47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/>
      <c r="CH471" s="50"/>
      <c r="CI471" s="50"/>
      <c r="CJ471" s="50"/>
      <c r="CK471" s="50"/>
      <c r="CL471" s="50"/>
      <c r="CM471" s="50"/>
      <c r="CN471" s="50"/>
      <c r="CO471" s="50"/>
      <c r="CP471" s="50"/>
      <c r="CQ471" s="50"/>
      <c r="CR471" s="50"/>
      <c r="CS471" s="50"/>
      <c r="CT471" s="50"/>
      <c r="CU471" s="50"/>
      <c r="CV471" s="50"/>
      <c r="CW471" s="50"/>
      <c r="CX471" s="50"/>
      <c r="CY471" s="50"/>
      <c r="CZ471" s="50"/>
      <c r="DA471" s="50"/>
      <c r="DB471" s="50"/>
      <c r="DC471" s="50"/>
      <c r="DD471" s="50"/>
      <c r="DE471" s="50"/>
      <c r="DF471" s="50"/>
      <c r="DG471" s="50"/>
      <c r="DH471" s="50"/>
      <c r="DI471" s="50"/>
      <c r="DJ471" s="50"/>
      <c r="DK471" s="50"/>
      <c r="DL471" s="50"/>
      <c r="DM471" s="50"/>
      <c r="DN471" s="50"/>
      <c r="DO471" s="50"/>
      <c r="DP471" s="50"/>
      <c r="DQ471" s="50"/>
      <c r="DR471" s="50"/>
      <c r="DS471" s="50"/>
      <c r="DT471" s="50"/>
      <c r="DU471" s="50"/>
      <c r="DV471" s="50"/>
      <c r="DW471" s="50"/>
      <c r="DX471" s="50"/>
      <c r="DY471" s="50"/>
      <c r="DZ471" s="50"/>
      <c r="EA471" s="50"/>
      <c r="EB471" s="50"/>
      <c r="EC471" s="50"/>
      <c r="ED471" s="50"/>
      <c r="EE471" s="50"/>
      <c r="EF471" s="50"/>
      <c r="EG471" s="50"/>
      <c r="EH471" s="50"/>
      <c r="EI471" s="50"/>
      <c r="EJ471" s="50"/>
      <c r="EK471" s="50"/>
      <c r="EL471" s="50"/>
      <c r="EM471" s="50"/>
      <c r="EN471" s="50"/>
      <c r="EO471" s="50"/>
      <c r="EP471" s="50"/>
      <c r="EQ471" s="50"/>
      <c r="ER471" s="50"/>
      <c r="ES471" s="50"/>
      <c r="ET471" s="50"/>
      <c r="EU471" s="50"/>
      <c r="EV471" s="50"/>
      <c r="EW471" s="50"/>
      <c r="EX471" s="50"/>
      <c r="EY471" s="50"/>
      <c r="EZ471" s="50"/>
      <c r="FA471" s="50"/>
      <c r="FB471" s="50"/>
      <c r="FC471" s="50"/>
      <c r="FD471" s="50"/>
      <c r="FE471" s="50"/>
      <c r="FF471" s="50"/>
      <c r="FG471" s="50"/>
      <c r="FH471" s="50"/>
      <c r="FI471" s="50"/>
      <c r="FJ471" s="50"/>
      <c r="FK471" s="50"/>
      <c r="FL471" s="50"/>
      <c r="FM471" s="50"/>
      <c r="FN471" s="50"/>
      <c r="FO471" s="50"/>
      <c r="FP471" s="50"/>
      <c r="FQ471" s="50"/>
      <c r="FR471" s="50"/>
      <c r="FS471" s="50"/>
      <c r="FT471" s="50"/>
      <c r="FU471" s="50"/>
      <c r="FV471" s="50"/>
      <c r="FW471" s="50"/>
      <c r="FX471" s="50"/>
      <c r="FY471" s="50"/>
      <c r="FZ471" s="50"/>
      <c r="GA471" s="50"/>
      <c r="GB471" s="50"/>
      <c r="GC471" s="50"/>
      <c r="GD471" s="50"/>
      <c r="GE471" s="50"/>
      <c r="GF471" s="50"/>
    </row>
    <row r="472" spans="1:188">
      <c r="A472" s="147"/>
      <c r="B472" s="147"/>
      <c r="C472" s="51"/>
      <c r="D472" s="52"/>
      <c r="E472" s="47"/>
      <c r="F472" s="47"/>
      <c r="G472" s="47"/>
      <c r="H472" s="47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/>
      <c r="CD472" s="50"/>
      <c r="CE472" s="50"/>
      <c r="CF472" s="50"/>
      <c r="CG472" s="50"/>
      <c r="CH472" s="50"/>
      <c r="CI472" s="50"/>
      <c r="CJ472" s="50"/>
      <c r="CK472" s="50"/>
      <c r="CL472" s="50"/>
      <c r="CM472" s="50"/>
      <c r="CN472" s="50"/>
      <c r="CO472" s="50"/>
      <c r="CP472" s="50"/>
      <c r="CQ472" s="50"/>
      <c r="CR472" s="50"/>
      <c r="CS472" s="50"/>
      <c r="CT472" s="50"/>
      <c r="CU472" s="50"/>
      <c r="CV472" s="50"/>
      <c r="CW472" s="50"/>
      <c r="CX472" s="50"/>
      <c r="CY472" s="50"/>
      <c r="CZ472" s="50"/>
      <c r="DA472" s="50"/>
      <c r="DB472" s="50"/>
      <c r="DC472" s="50"/>
      <c r="DD472" s="50"/>
      <c r="DE472" s="50"/>
      <c r="DF472" s="50"/>
      <c r="DG472" s="50"/>
      <c r="DH472" s="50"/>
      <c r="DI472" s="50"/>
      <c r="DJ472" s="50"/>
      <c r="DK472" s="50"/>
      <c r="DL472" s="50"/>
      <c r="DM472" s="50"/>
      <c r="DN472" s="50"/>
      <c r="DO472" s="50"/>
      <c r="DP472" s="50"/>
      <c r="DQ472" s="50"/>
      <c r="DR472" s="50"/>
      <c r="DS472" s="50"/>
      <c r="DT472" s="50"/>
      <c r="DU472" s="50"/>
      <c r="DV472" s="50"/>
      <c r="DW472" s="50"/>
      <c r="DX472" s="50"/>
      <c r="DY472" s="50"/>
      <c r="DZ472" s="50"/>
      <c r="EA472" s="50"/>
      <c r="EB472" s="50"/>
      <c r="EC472" s="50"/>
      <c r="ED472" s="50"/>
      <c r="EE472" s="50"/>
      <c r="EF472" s="50"/>
      <c r="EG472" s="50"/>
      <c r="EH472" s="50"/>
      <c r="EI472" s="50"/>
      <c r="EJ472" s="50"/>
      <c r="EK472" s="50"/>
      <c r="EL472" s="50"/>
      <c r="EM472" s="50"/>
      <c r="EN472" s="50"/>
      <c r="EO472" s="50"/>
      <c r="EP472" s="50"/>
      <c r="EQ472" s="50"/>
      <c r="ER472" s="50"/>
      <c r="ES472" s="50"/>
      <c r="ET472" s="50"/>
      <c r="EU472" s="50"/>
      <c r="EV472" s="50"/>
      <c r="EW472" s="50"/>
      <c r="EX472" s="50"/>
      <c r="EY472" s="50"/>
      <c r="EZ472" s="50"/>
      <c r="FA472" s="50"/>
      <c r="FB472" s="50"/>
      <c r="FC472" s="50"/>
      <c r="FD472" s="50"/>
      <c r="FE472" s="50"/>
      <c r="FF472" s="50"/>
      <c r="FG472" s="50"/>
      <c r="FH472" s="50"/>
      <c r="FI472" s="50"/>
      <c r="FJ472" s="50"/>
      <c r="FK472" s="50"/>
      <c r="FL472" s="50"/>
      <c r="FM472" s="50"/>
      <c r="FN472" s="50"/>
      <c r="FO472" s="50"/>
      <c r="FP472" s="50"/>
      <c r="FQ472" s="50"/>
      <c r="FR472" s="50"/>
      <c r="FS472" s="50"/>
      <c r="FT472" s="50"/>
      <c r="FU472" s="50"/>
      <c r="FV472" s="50"/>
      <c r="FW472" s="50"/>
      <c r="FX472" s="50"/>
      <c r="FY472" s="50"/>
      <c r="FZ472" s="50"/>
      <c r="GA472" s="50"/>
      <c r="GB472" s="50"/>
      <c r="GC472" s="50"/>
      <c r="GD472" s="50"/>
      <c r="GE472" s="50"/>
      <c r="GF472" s="50"/>
    </row>
    <row r="473" spans="1:188">
      <c r="A473" s="147"/>
      <c r="B473" s="147"/>
      <c r="C473" s="51"/>
      <c r="D473" s="52"/>
      <c r="E473" s="47"/>
      <c r="F473" s="47"/>
      <c r="G473" s="47"/>
      <c r="H473" s="47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/>
      <c r="CK473" s="50"/>
      <c r="CL473" s="50"/>
      <c r="CM473" s="50"/>
      <c r="CN473" s="50"/>
      <c r="CO473" s="50"/>
      <c r="CP473" s="50"/>
      <c r="CQ473" s="50"/>
      <c r="CR473" s="50"/>
      <c r="CS473" s="50"/>
      <c r="CT473" s="50"/>
      <c r="CU473" s="50"/>
      <c r="CV473" s="50"/>
      <c r="CW473" s="50"/>
      <c r="CX473" s="50"/>
      <c r="CY473" s="50"/>
      <c r="CZ473" s="50"/>
      <c r="DA473" s="50"/>
      <c r="DB473" s="50"/>
      <c r="DC473" s="50"/>
      <c r="DD473" s="50"/>
      <c r="DE473" s="50"/>
      <c r="DF473" s="50"/>
      <c r="DG473" s="50"/>
      <c r="DH473" s="50"/>
      <c r="DI473" s="50"/>
      <c r="DJ473" s="50"/>
      <c r="DK473" s="50"/>
      <c r="DL473" s="50"/>
      <c r="DM473" s="50"/>
      <c r="DN473" s="50"/>
      <c r="DO473" s="50"/>
      <c r="DP473" s="50"/>
      <c r="DQ473" s="50"/>
      <c r="DR473" s="50"/>
      <c r="DS473" s="50"/>
      <c r="DT473" s="50"/>
      <c r="DU473" s="50"/>
      <c r="DV473" s="50"/>
      <c r="DW473" s="50"/>
      <c r="DX473" s="50"/>
      <c r="DY473" s="50"/>
      <c r="DZ473" s="50"/>
      <c r="EA473" s="50"/>
      <c r="EB473" s="50"/>
      <c r="EC473" s="50"/>
      <c r="ED473" s="50"/>
      <c r="EE473" s="50"/>
      <c r="EF473" s="50"/>
      <c r="EG473" s="50"/>
      <c r="EH473" s="50"/>
      <c r="EI473" s="50"/>
      <c r="EJ473" s="50"/>
      <c r="EK473" s="50"/>
      <c r="EL473" s="50"/>
      <c r="EM473" s="50"/>
      <c r="EN473" s="50"/>
      <c r="EO473" s="50"/>
      <c r="EP473" s="50"/>
      <c r="EQ473" s="50"/>
      <c r="ER473" s="50"/>
      <c r="ES473" s="50"/>
      <c r="ET473" s="50"/>
      <c r="EU473" s="50"/>
      <c r="EV473" s="50"/>
      <c r="EW473" s="50"/>
      <c r="EX473" s="50"/>
      <c r="EY473" s="50"/>
      <c r="EZ473" s="50"/>
      <c r="FA473" s="50"/>
      <c r="FB473" s="50"/>
      <c r="FC473" s="50"/>
      <c r="FD473" s="50"/>
      <c r="FE473" s="50"/>
      <c r="FF473" s="50"/>
      <c r="FG473" s="50"/>
      <c r="FH473" s="50"/>
      <c r="FI473" s="50"/>
      <c r="FJ473" s="50"/>
      <c r="FK473" s="50"/>
      <c r="FL473" s="50"/>
      <c r="FM473" s="50"/>
      <c r="FN473" s="50"/>
      <c r="FO473" s="50"/>
      <c r="FP473" s="50"/>
      <c r="FQ473" s="50"/>
      <c r="FR473" s="50"/>
      <c r="FS473" s="50"/>
      <c r="FT473" s="50"/>
      <c r="FU473" s="50"/>
      <c r="FV473" s="50"/>
      <c r="FW473" s="50"/>
      <c r="FX473" s="50"/>
      <c r="FY473" s="50"/>
      <c r="FZ473" s="50"/>
      <c r="GA473" s="50"/>
      <c r="GB473" s="50"/>
      <c r="GC473" s="50"/>
      <c r="GD473" s="50"/>
      <c r="GE473" s="50"/>
      <c r="GF473" s="50"/>
    </row>
    <row r="474" spans="1:188">
      <c r="A474" s="147"/>
      <c r="B474" s="147"/>
      <c r="C474" s="51"/>
      <c r="D474" s="52"/>
      <c r="E474" s="47"/>
      <c r="F474" s="47"/>
      <c r="G474" s="47"/>
      <c r="H474" s="47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/>
      <c r="CJ474" s="50"/>
      <c r="CK474" s="50"/>
      <c r="CL474" s="50"/>
      <c r="CM474" s="50"/>
      <c r="CN474" s="50"/>
      <c r="CO474" s="50"/>
      <c r="CP474" s="50"/>
      <c r="CQ474" s="50"/>
      <c r="CR474" s="50"/>
      <c r="CS474" s="50"/>
      <c r="CT474" s="50"/>
      <c r="CU474" s="50"/>
      <c r="CV474" s="50"/>
      <c r="CW474" s="50"/>
      <c r="CX474" s="50"/>
      <c r="CY474" s="50"/>
      <c r="CZ474" s="50"/>
      <c r="DA474" s="50"/>
      <c r="DB474" s="50"/>
      <c r="DC474" s="50"/>
      <c r="DD474" s="50"/>
      <c r="DE474" s="50"/>
      <c r="DF474" s="50"/>
      <c r="DG474" s="50"/>
      <c r="DH474" s="50"/>
      <c r="DI474" s="50"/>
      <c r="DJ474" s="50"/>
      <c r="DK474" s="50"/>
      <c r="DL474" s="50"/>
      <c r="DM474" s="50"/>
      <c r="DN474" s="50"/>
      <c r="DO474" s="50"/>
      <c r="DP474" s="50"/>
      <c r="DQ474" s="50"/>
      <c r="DR474" s="50"/>
      <c r="DS474" s="50"/>
      <c r="DT474" s="50"/>
      <c r="DU474" s="50"/>
      <c r="DV474" s="50"/>
      <c r="DW474" s="50"/>
      <c r="DX474" s="50"/>
      <c r="DY474" s="50"/>
      <c r="DZ474" s="50"/>
      <c r="EA474" s="50"/>
      <c r="EB474" s="50"/>
      <c r="EC474" s="50"/>
      <c r="ED474" s="50"/>
      <c r="EE474" s="50"/>
      <c r="EF474" s="50"/>
      <c r="EG474" s="50"/>
      <c r="EH474" s="50"/>
      <c r="EI474" s="50"/>
      <c r="EJ474" s="50"/>
      <c r="EK474" s="50"/>
      <c r="EL474" s="50"/>
      <c r="EM474" s="50"/>
      <c r="EN474" s="50"/>
      <c r="EO474" s="50"/>
      <c r="EP474" s="50"/>
      <c r="EQ474" s="50"/>
      <c r="ER474" s="50"/>
      <c r="ES474" s="50"/>
      <c r="ET474" s="50"/>
      <c r="EU474" s="50"/>
      <c r="EV474" s="50"/>
      <c r="EW474" s="50"/>
      <c r="EX474" s="50"/>
      <c r="EY474" s="50"/>
      <c r="EZ474" s="50"/>
      <c r="FA474" s="50"/>
      <c r="FB474" s="50"/>
      <c r="FC474" s="50"/>
      <c r="FD474" s="50"/>
      <c r="FE474" s="50"/>
      <c r="FF474" s="50"/>
      <c r="FG474" s="50"/>
      <c r="FH474" s="50"/>
      <c r="FI474" s="50"/>
      <c r="FJ474" s="50"/>
      <c r="FK474" s="50"/>
      <c r="FL474" s="50"/>
      <c r="FM474" s="50"/>
      <c r="FN474" s="50"/>
      <c r="FO474" s="50"/>
      <c r="FP474" s="50"/>
      <c r="FQ474" s="50"/>
      <c r="FR474" s="50"/>
      <c r="FS474" s="50"/>
      <c r="FT474" s="50"/>
      <c r="FU474" s="50"/>
      <c r="FV474" s="50"/>
      <c r="FW474" s="50"/>
      <c r="FX474" s="50"/>
      <c r="FY474" s="50"/>
      <c r="FZ474" s="50"/>
      <c r="GA474" s="50"/>
      <c r="GB474" s="50"/>
      <c r="GC474" s="50"/>
      <c r="GD474" s="50"/>
      <c r="GE474" s="50"/>
      <c r="GF474" s="50"/>
    </row>
    <row r="475" spans="1:188">
      <c r="A475" s="147"/>
      <c r="B475" s="147"/>
      <c r="C475" s="51"/>
      <c r="D475" s="52"/>
      <c r="E475" s="47"/>
      <c r="F475" s="47"/>
      <c r="G475" s="47"/>
      <c r="H475" s="47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0"/>
      <c r="BR475" s="50"/>
      <c r="BS475" s="50"/>
      <c r="BT475" s="50"/>
      <c r="BU475" s="50"/>
      <c r="BV475" s="50"/>
      <c r="BW475" s="50"/>
      <c r="BX475" s="50"/>
      <c r="BY475" s="50"/>
      <c r="BZ475" s="50"/>
      <c r="CA475" s="50"/>
      <c r="CB475" s="50"/>
      <c r="CC475" s="50"/>
      <c r="CD475" s="50"/>
      <c r="CE475" s="50"/>
      <c r="CF475" s="50"/>
      <c r="CG475" s="50"/>
      <c r="CH475" s="50"/>
      <c r="CI475" s="50"/>
      <c r="CJ475" s="50"/>
      <c r="CK475" s="50"/>
      <c r="CL475" s="50"/>
      <c r="CM475" s="50"/>
      <c r="CN475" s="50"/>
      <c r="CO475" s="50"/>
      <c r="CP475" s="50"/>
      <c r="CQ475" s="50"/>
      <c r="CR475" s="50"/>
      <c r="CS475" s="50"/>
      <c r="CT475" s="50"/>
      <c r="CU475" s="50"/>
      <c r="CV475" s="50"/>
      <c r="CW475" s="50"/>
      <c r="CX475" s="50"/>
      <c r="CY475" s="50"/>
      <c r="CZ475" s="50"/>
      <c r="DA475" s="50"/>
      <c r="DB475" s="50"/>
      <c r="DC475" s="50"/>
      <c r="DD475" s="50"/>
      <c r="DE475" s="50"/>
      <c r="DF475" s="50"/>
      <c r="DG475" s="50"/>
      <c r="DH475" s="50"/>
      <c r="DI475" s="50"/>
      <c r="DJ475" s="50"/>
      <c r="DK475" s="50"/>
      <c r="DL475" s="50"/>
      <c r="DM475" s="50"/>
      <c r="DN475" s="50"/>
      <c r="DO475" s="50"/>
      <c r="DP475" s="50"/>
      <c r="DQ475" s="50"/>
      <c r="DR475" s="50"/>
      <c r="DS475" s="50"/>
      <c r="DT475" s="50"/>
      <c r="DU475" s="50"/>
      <c r="DV475" s="50"/>
      <c r="DW475" s="50"/>
      <c r="DX475" s="50"/>
      <c r="DY475" s="50"/>
      <c r="DZ475" s="50"/>
      <c r="EA475" s="50"/>
      <c r="EB475" s="50"/>
      <c r="EC475" s="50"/>
      <c r="ED475" s="50"/>
      <c r="EE475" s="50"/>
      <c r="EF475" s="50"/>
      <c r="EG475" s="50"/>
      <c r="EH475" s="50"/>
      <c r="EI475" s="50"/>
      <c r="EJ475" s="50"/>
      <c r="EK475" s="50"/>
      <c r="EL475" s="50"/>
      <c r="EM475" s="50"/>
      <c r="EN475" s="50"/>
      <c r="EO475" s="50"/>
      <c r="EP475" s="50"/>
      <c r="EQ475" s="50"/>
      <c r="ER475" s="50"/>
      <c r="ES475" s="50"/>
      <c r="ET475" s="50"/>
      <c r="EU475" s="50"/>
      <c r="EV475" s="50"/>
      <c r="EW475" s="50"/>
      <c r="EX475" s="50"/>
      <c r="EY475" s="50"/>
      <c r="EZ475" s="50"/>
      <c r="FA475" s="50"/>
      <c r="FB475" s="50"/>
      <c r="FC475" s="50"/>
      <c r="FD475" s="50"/>
      <c r="FE475" s="50"/>
      <c r="FF475" s="50"/>
      <c r="FG475" s="50"/>
      <c r="FH475" s="50"/>
      <c r="FI475" s="50"/>
      <c r="FJ475" s="50"/>
      <c r="FK475" s="50"/>
      <c r="FL475" s="50"/>
      <c r="FM475" s="50"/>
      <c r="FN475" s="50"/>
      <c r="FO475" s="50"/>
      <c r="FP475" s="50"/>
      <c r="FQ475" s="50"/>
      <c r="FR475" s="50"/>
      <c r="FS475" s="50"/>
      <c r="FT475" s="50"/>
      <c r="FU475" s="50"/>
      <c r="FV475" s="50"/>
      <c r="FW475" s="50"/>
      <c r="FX475" s="50"/>
      <c r="FY475" s="50"/>
      <c r="FZ475" s="50"/>
      <c r="GA475" s="50"/>
      <c r="GB475" s="50"/>
      <c r="GC475" s="50"/>
      <c r="GD475" s="50"/>
      <c r="GE475" s="50"/>
      <c r="GF475" s="50"/>
    </row>
    <row r="476" spans="1:188">
      <c r="A476" s="147"/>
      <c r="B476" s="147"/>
      <c r="C476" s="51"/>
      <c r="D476" s="52"/>
      <c r="E476" s="47"/>
      <c r="F476" s="47"/>
      <c r="G476" s="47"/>
      <c r="H476" s="47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/>
      <c r="CK476" s="50"/>
      <c r="CL476" s="50"/>
      <c r="CM476" s="50"/>
      <c r="CN476" s="50"/>
      <c r="CO476" s="50"/>
      <c r="CP476" s="50"/>
      <c r="CQ476" s="50"/>
      <c r="CR476" s="50"/>
      <c r="CS476" s="50"/>
      <c r="CT476" s="50"/>
      <c r="CU476" s="50"/>
      <c r="CV476" s="50"/>
      <c r="CW476" s="50"/>
      <c r="CX476" s="50"/>
      <c r="CY476" s="50"/>
      <c r="CZ476" s="50"/>
      <c r="DA476" s="50"/>
      <c r="DB476" s="50"/>
      <c r="DC476" s="50"/>
      <c r="DD476" s="50"/>
      <c r="DE476" s="50"/>
      <c r="DF476" s="50"/>
      <c r="DG476" s="50"/>
      <c r="DH476" s="50"/>
      <c r="DI476" s="50"/>
      <c r="DJ476" s="50"/>
      <c r="DK476" s="50"/>
      <c r="DL476" s="50"/>
      <c r="DM476" s="50"/>
      <c r="DN476" s="50"/>
      <c r="DO476" s="50"/>
      <c r="DP476" s="50"/>
      <c r="DQ476" s="50"/>
      <c r="DR476" s="50"/>
      <c r="DS476" s="50"/>
      <c r="DT476" s="50"/>
      <c r="DU476" s="50"/>
      <c r="DV476" s="50"/>
      <c r="DW476" s="50"/>
      <c r="DX476" s="50"/>
      <c r="DY476" s="50"/>
      <c r="DZ476" s="50"/>
      <c r="EA476" s="50"/>
      <c r="EB476" s="50"/>
      <c r="EC476" s="50"/>
      <c r="ED476" s="50"/>
      <c r="EE476" s="50"/>
      <c r="EF476" s="50"/>
      <c r="EG476" s="50"/>
      <c r="EH476" s="50"/>
      <c r="EI476" s="50"/>
      <c r="EJ476" s="50"/>
      <c r="EK476" s="50"/>
      <c r="EL476" s="50"/>
      <c r="EM476" s="50"/>
      <c r="EN476" s="50"/>
      <c r="EO476" s="50"/>
      <c r="EP476" s="50"/>
      <c r="EQ476" s="50"/>
      <c r="ER476" s="50"/>
      <c r="ES476" s="50"/>
      <c r="ET476" s="50"/>
      <c r="EU476" s="50"/>
      <c r="EV476" s="50"/>
      <c r="EW476" s="50"/>
      <c r="EX476" s="50"/>
      <c r="EY476" s="50"/>
      <c r="EZ476" s="50"/>
      <c r="FA476" s="50"/>
      <c r="FB476" s="50"/>
      <c r="FC476" s="50"/>
      <c r="FD476" s="50"/>
      <c r="FE476" s="50"/>
      <c r="FF476" s="50"/>
      <c r="FG476" s="50"/>
      <c r="FH476" s="50"/>
      <c r="FI476" s="50"/>
      <c r="FJ476" s="50"/>
      <c r="FK476" s="50"/>
      <c r="FL476" s="50"/>
      <c r="FM476" s="50"/>
      <c r="FN476" s="50"/>
      <c r="FO476" s="50"/>
      <c r="FP476" s="50"/>
      <c r="FQ476" s="50"/>
      <c r="FR476" s="50"/>
      <c r="FS476" s="50"/>
      <c r="FT476" s="50"/>
      <c r="FU476" s="50"/>
      <c r="FV476" s="50"/>
      <c r="FW476" s="50"/>
      <c r="FX476" s="50"/>
      <c r="FY476" s="50"/>
      <c r="FZ476" s="50"/>
      <c r="GA476" s="50"/>
      <c r="GB476" s="50"/>
      <c r="GC476" s="50"/>
      <c r="GD476" s="50"/>
      <c r="GE476" s="50"/>
      <c r="GF476" s="50"/>
    </row>
    <row r="477" spans="1:188">
      <c r="A477" s="147"/>
      <c r="B477" s="147"/>
      <c r="C477" s="51"/>
      <c r="D477" s="52"/>
      <c r="E477" s="47"/>
      <c r="F477" s="47"/>
      <c r="G477" s="47"/>
      <c r="H477" s="47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/>
      <c r="CK477" s="50"/>
      <c r="CL477" s="50"/>
      <c r="CM477" s="50"/>
      <c r="CN477" s="50"/>
      <c r="CO477" s="50"/>
      <c r="CP477" s="50"/>
      <c r="CQ477" s="50"/>
      <c r="CR477" s="50"/>
      <c r="CS477" s="50"/>
      <c r="CT477" s="50"/>
      <c r="CU477" s="50"/>
      <c r="CV477" s="50"/>
      <c r="CW477" s="50"/>
      <c r="CX477" s="50"/>
      <c r="CY477" s="50"/>
      <c r="CZ477" s="50"/>
      <c r="DA477" s="50"/>
      <c r="DB477" s="50"/>
      <c r="DC477" s="50"/>
      <c r="DD477" s="50"/>
      <c r="DE477" s="50"/>
      <c r="DF477" s="50"/>
      <c r="DG477" s="50"/>
      <c r="DH477" s="50"/>
      <c r="DI477" s="50"/>
      <c r="DJ477" s="50"/>
      <c r="DK477" s="50"/>
      <c r="DL477" s="50"/>
      <c r="DM477" s="50"/>
      <c r="DN477" s="50"/>
      <c r="DO477" s="50"/>
      <c r="DP477" s="50"/>
      <c r="DQ477" s="50"/>
      <c r="DR477" s="50"/>
      <c r="DS477" s="50"/>
      <c r="DT477" s="50"/>
      <c r="DU477" s="50"/>
      <c r="DV477" s="50"/>
      <c r="DW477" s="50"/>
      <c r="DX477" s="50"/>
      <c r="DY477" s="50"/>
      <c r="DZ477" s="50"/>
      <c r="EA477" s="50"/>
      <c r="EB477" s="50"/>
      <c r="EC477" s="50"/>
      <c r="ED477" s="50"/>
      <c r="EE477" s="50"/>
      <c r="EF477" s="50"/>
      <c r="EG477" s="50"/>
      <c r="EH477" s="50"/>
      <c r="EI477" s="50"/>
      <c r="EJ477" s="50"/>
      <c r="EK477" s="50"/>
      <c r="EL477" s="50"/>
      <c r="EM477" s="50"/>
      <c r="EN477" s="50"/>
      <c r="EO477" s="50"/>
      <c r="EP477" s="50"/>
      <c r="EQ477" s="50"/>
      <c r="ER477" s="50"/>
      <c r="ES477" s="50"/>
      <c r="ET477" s="50"/>
      <c r="EU477" s="50"/>
      <c r="EV477" s="50"/>
      <c r="EW477" s="50"/>
      <c r="EX477" s="50"/>
      <c r="EY477" s="50"/>
      <c r="EZ477" s="50"/>
      <c r="FA477" s="50"/>
      <c r="FB477" s="50"/>
      <c r="FC477" s="50"/>
      <c r="FD477" s="50"/>
      <c r="FE477" s="50"/>
      <c r="FF477" s="50"/>
      <c r="FG477" s="50"/>
      <c r="FH477" s="50"/>
      <c r="FI477" s="50"/>
      <c r="FJ477" s="50"/>
      <c r="FK477" s="50"/>
      <c r="FL477" s="50"/>
      <c r="FM477" s="50"/>
      <c r="FN477" s="50"/>
      <c r="FO477" s="50"/>
      <c r="FP477" s="50"/>
      <c r="FQ477" s="50"/>
      <c r="FR477" s="50"/>
      <c r="FS477" s="50"/>
      <c r="FT477" s="50"/>
      <c r="FU477" s="50"/>
      <c r="FV477" s="50"/>
      <c r="FW477" s="50"/>
      <c r="FX477" s="50"/>
      <c r="FY477" s="50"/>
      <c r="FZ477" s="50"/>
      <c r="GA477" s="50"/>
      <c r="GB477" s="50"/>
      <c r="GC477" s="50"/>
      <c r="GD477" s="50"/>
      <c r="GE477" s="50"/>
      <c r="GF477" s="50"/>
    </row>
    <row r="478" spans="1:188">
      <c r="A478" s="147"/>
      <c r="B478" s="147"/>
      <c r="C478" s="51"/>
      <c r="D478" s="52"/>
      <c r="E478" s="47"/>
      <c r="F478" s="47"/>
      <c r="G478" s="47"/>
      <c r="H478" s="47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/>
      <c r="CK478" s="50"/>
      <c r="CL478" s="50"/>
      <c r="CM478" s="50"/>
      <c r="CN478" s="50"/>
      <c r="CO478" s="50"/>
      <c r="CP478" s="50"/>
      <c r="CQ478" s="50"/>
      <c r="CR478" s="50"/>
      <c r="CS478" s="50"/>
      <c r="CT478" s="50"/>
      <c r="CU478" s="50"/>
      <c r="CV478" s="50"/>
      <c r="CW478" s="50"/>
      <c r="CX478" s="50"/>
      <c r="CY478" s="50"/>
      <c r="CZ478" s="50"/>
      <c r="DA478" s="50"/>
      <c r="DB478" s="50"/>
      <c r="DC478" s="50"/>
      <c r="DD478" s="50"/>
      <c r="DE478" s="50"/>
      <c r="DF478" s="50"/>
      <c r="DG478" s="50"/>
      <c r="DH478" s="50"/>
      <c r="DI478" s="50"/>
      <c r="DJ478" s="50"/>
      <c r="DK478" s="50"/>
      <c r="DL478" s="50"/>
      <c r="DM478" s="50"/>
      <c r="DN478" s="50"/>
      <c r="DO478" s="50"/>
      <c r="DP478" s="50"/>
      <c r="DQ478" s="50"/>
      <c r="DR478" s="50"/>
      <c r="DS478" s="50"/>
      <c r="DT478" s="50"/>
      <c r="DU478" s="50"/>
      <c r="DV478" s="50"/>
      <c r="DW478" s="50"/>
      <c r="DX478" s="50"/>
      <c r="DY478" s="50"/>
      <c r="DZ478" s="50"/>
      <c r="EA478" s="50"/>
      <c r="EB478" s="50"/>
      <c r="EC478" s="50"/>
      <c r="ED478" s="50"/>
      <c r="EE478" s="50"/>
      <c r="EF478" s="50"/>
      <c r="EG478" s="50"/>
      <c r="EH478" s="50"/>
      <c r="EI478" s="50"/>
      <c r="EJ478" s="50"/>
      <c r="EK478" s="50"/>
      <c r="EL478" s="50"/>
      <c r="EM478" s="50"/>
      <c r="EN478" s="50"/>
      <c r="EO478" s="50"/>
      <c r="EP478" s="50"/>
      <c r="EQ478" s="50"/>
      <c r="ER478" s="50"/>
      <c r="ES478" s="50"/>
      <c r="ET478" s="50"/>
      <c r="EU478" s="50"/>
      <c r="EV478" s="50"/>
      <c r="EW478" s="50"/>
      <c r="EX478" s="50"/>
      <c r="EY478" s="50"/>
      <c r="EZ478" s="50"/>
      <c r="FA478" s="50"/>
      <c r="FB478" s="50"/>
      <c r="FC478" s="50"/>
      <c r="FD478" s="50"/>
      <c r="FE478" s="50"/>
      <c r="FF478" s="50"/>
      <c r="FG478" s="50"/>
      <c r="FH478" s="50"/>
      <c r="FI478" s="50"/>
      <c r="FJ478" s="50"/>
      <c r="FK478" s="50"/>
      <c r="FL478" s="50"/>
      <c r="FM478" s="50"/>
      <c r="FN478" s="50"/>
      <c r="FO478" s="50"/>
      <c r="FP478" s="50"/>
      <c r="FQ478" s="50"/>
      <c r="FR478" s="50"/>
      <c r="FS478" s="50"/>
      <c r="FT478" s="50"/>
      <c r="FU478" s="50"/>
      <c r="FV478" s="50"/>
      <c r="FW478" s="50"/>
      <c r="FX478" s="50"/>
      <c r="FY478" s="50"/>
      <c r="FZ478" s="50"/>
      <c r="GA478" s="50"/>
      <c r="GB478" s="50"/>
      <c r="GC478" s="50"/>
      <c r="GD478" s="50"/>
      <c r="GE478" s="50"/>
      <c r="GF478" s="50"/>
    </row>
    <row r="479" spans="1:188">
      <c r="A479" s="147"/>
      <c r="B479" s="147"/>
      <c r="C479" s="51"/>
      <c r="D479" s="52"/>
      <c r="E479" s="47"/>
      <c r="F479" s="47"/>
      <c r="G479" s="47"/>
      <c r="H479" s="47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/>
      <c r="CK479" s="50"/>
      <c r="CL479" s="50"/>
      <c r="CM479" s="50"/>
      <c r="CN479" s="50"/>
      <c r="CO479" s="50"/>
      <c r="CP479" s="50"/>
      <c r="CQ479" s="50"/>
      <c r="CR479" s="50"/>
      <c r="CS479" s="50"/>
      <c r="CT479" s="50"/>
      <c r="CU479" s="50"/>
      <c r="CV479" s="50"/>
      <c r="CW479" s="50"/>
      <c r="CX479" s="50"/>
      <c r="CY479" s="50"/>
      <c r="CZ479" s="50"/>
      <c r="DA479" s="50"/>
      <c r="DB479" s="50"/>
      <c r="DC479" s="50"/>
      <c r="DD479" s="50"/>
      <c r="DE479" s="50"/>
      <c r="DF479" s="50"/>
      <c r="DG479" s="50"/>
      <c r="DH479" s="50"/>
      <c r="DI479" s="50"/>
      <c r="DJ479" s="50"/>
      <c r="DK479" s="50"/>
      <c r="DL479" s="50"/>
      <c r="DM479" s="50"/>
      <c r="DN479" s="50"/>
      <c r="DO479" s="50"/>
      <c r="DP479" s="50"/>
      <c r="DQ479" s="50"/>
      <c r="DR479" s="50"/>
      <c r="DS479" s="50"/>
      <c r="DT479" s="50"/>
      <c r="DU479" s="50"/>
      <c r="DV479" s="50"/>
      <c r="DW479" s="50"/>
      <c r="DX479" s="50"/>
      <c r="DY479" s="50"/>
      <c r="DZ479" s="50"/>
      <c r="EA479" s="50"/>
      <c r="EB479" s="50"/>
      <c r="EC479" s="50"/>
      <c r="ED479" s="50"/>
      <c r="EE479" s="50"/>
      <c r="EF479" s="50"/>
      <c r="EG479" s="50"/>
      <c r="EH479" s="50"/>
      <c r="EI479" s="50"/>
      <c r="EJ479" s="50"/>
      <c r="EK479" s="50"/>
      <c r="EL479" s="50"/>
      <c r="EM479" s="50"/>
      <c r="EN479" s="50"/>
      <c r="EO479" s="50"/>
      <c r="EP479" s="50"/>
      <c r="EQ479" s="50"/>
      <c r="ER479" s="50"/>
      <c r="ES479" s="50"/>
      <c r="ET479" s="50"/>
      <c r="EU479" s="50"/>
      <c r="EV479" s="50"/>
      <c r="EW479" s="50"/>
      <c r="EX479" s="50"/>
      <c r="EY479" s="50"/>
      <c r="EZ479" s="50"/>
      <c r="FA479" s="50"/>
      <c r="FB479" s="50"/>
      <c r="FC479" s="50"/>
      <c r="FD479" s="50"/>
      <c r="FE479" s="50"/>
      <c r="FF479" s="50"/>
      <c r="FG479" s="50"/>
      <c r="FH479" s="50"/>
      <c r="FI479" s="50"/>
      <c r="FJ479" s="50"/>
      <c r="FK479" s="50"/>
      <c r="FL479" s="50"/>
      <c r="FM479" s="50"/>
      <c r="FN479" s="50"/>
      <c r="FO479" s="50"/>
      <c r="FP479" s="50"/>
      <c r="FQ479" s="50"/>
      <c r="FR479" s="50"/>
      <c r="FS479" s="50"/>
      <c r="FT479" s="50"/>
      <c r="FU479" s="50"/>
      <c r="FV479" s="50"/>
      <c r="FW479" s="50"/>
      <c r="FX479" s="50"/>
      <c r="FY479" s="50"/>
      <c r="FZ479" s="50"/>
      <c r="GA479" s="50"/>
      <c r="GB479" s="50"/>
      <c r="GC479" s="50"/>
      <c r="GD479" s="50"/>
      <c r="GE479" s="50"/>
      <c r="GF479" s="50"/>
    </row>
    <row r="480" spans="1:188">
      <c r="A480" s="147"/>
      <c r="B480" s="147"/>
      <c r="C480" s="51"/>
      <c r="D480" s="52"/>
      <c r="E480" s="47"/>
      <c r="F480" s="47"/>
      <c r="G480" s="47"/>
      <c r="H480" s="47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/>
      <c r="CK480" s="50"/>
      <c r="CL480" s="50"/>
      <c r="CM480" s="50"/>
      <c r="CN480" s="50"/>
      <c r="CO480" s="50"/>
      <c r="CP480" s="50"/>
      <c r="CQ480" s="50"/>
      <c r="CR480" s="50"/>
      <c r="CS480" s="50"/>
      <c r="CT480" s="50"/>
      <c r="CU480" s="50"/>
      <c r="CV480" s="50"/>
      <c r="CW480" s="50"/>
      <c r="CX480" s="50"/>
      <c r="CY480" s="50"/>
      <c r="CZ480" s="50"/>
      <c r="DA480" s="50"/>
      <c r="DB480" s="50"/>
      <c r="DC480" s="50"/>
      <c r="DD480" s="50"/>
      <c r="DE480" s="50"/>
      <c r="DF480" s="50"/>
      <c r="DG480" s="50"/>
      <c r="DH480" s="50"/>
      <c r="DI480" s="50"/>
      <c r="DJ480" s="50"/>
      <c r="DK480" s="50"/>
      <c r="DL480" s="50"/>
      <c r="DM480" s="50"/>
      <c r="DN480" s="50"/>
      <c r="DO480" s="50"/>
      <c r="DP480" s="50"/>
      <c r="DQ480" s="50"/>
      <c r="DR480" s="50"/>
      <c r="DS480" s="50"/>
      <c r="DT480" s="50"/>
      <c r="DU480" s="50"/>
      <c r="DV480" s="50"/>
      <c r="DW480" s="50"/>
      <c r="DX480" s="50"/>
      <c r="DY480" s="50"/>
      <c r="DZ480" s="50"/>
      <c r="EA480" s="50"/>
      <c r="EB480" s="50"/>
      <c r="EC480" s="50"/>
      <c r="ED480" s="50"/>
      <c r="EE480" s="50"/>
      <c r="EF480" s="50"/>
      <c r="EG480" s="50"/>
      <c r="EH480" s="50"/>
      <c r="EI480" s="50"/>
      <c r="EJ480" s="50"/>
      <c r="EK480" s="50"/>
      <c r="EL480" s="50"/>
      <c r="EM480" s="50"/>
      <c r="EN480" s="50"/>
      <c r="EO480" s="50"/>
      <c r="EP480" s="50"/>
      <c r="EQ480" s="50"/>
      <c r="ER480" s="50"/>
      <c r="ES480" s="50"/>
      <c r="ET480" s="50"/>
      <c r="EU480" s="50"/>
      <c r="EV480" s="50"/>
      <c r="EW480" s="50"/>
      <c r="EX480" s="50"/>
      <c r="EY480" s="50"/>
      <c r="EZ480" s="50"/>
      <c r="FA480" s="50"/>
      <c r="FB480" s="50"/>
      <c r="FC480" s="50"/>
      <c r="FD480" s="50"/>
      <c r="FE480" s="50"/>
      <c r="FF480" s="50"/>
      <c r="FG480" s="50"/>
      <c r="FH480" s="50"/>
      <c r="FI480" s="50"/>
      <c r="FJ480" s="50"/>
      <c r="FK480" s="50"/>
      <c r="FL480" s="50"/>
      <c r="FM480" s="50"/>
      <c r="FN480" s="50"/>
      <c r="FO480" s="50"/>
      <c r="FP480" s="50"/>
      <c r="FQ480" s="50"/>
      <c r="FR480" s="50"/>
      <c r="FS480" s="50"/>
      <c r="FT480" s="50"/>
      <c r="FU480" s="50"/>
      <c r="FV480" s="50"/>
      <c r="FW480" s="50"/>
      <c r="FX480" s="50"/>
      <c r="FY480" s="50"/>
      <c r="FZ480" s="50"/>
      <c r="GA480" s="50"/>
      <c r="GB480" s="50"/>
      <c r="GC480" s="50"/>
      <c r="GD480" s="50"/>
      <c r="GE480" s="50"/>
      <c r="GF480" s="50"/>
    </row>
    <row r="481" spans="1:188">
      <c r="A481" s="147"/>
      <c r="B481" s="147"/>
      <c r="C481" s="51"/>
      <c r="D481" s="52"/>
      <c r="E481" s="47"/>
      <c r="F481" s="47"/>
      <c r="G481" s="47"/>
      <c r="H481" s="47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  <c r="CR481" s="50"/>
      <c r="CS481" s="50"/>
      <c r="CT481" s="50"/>
      <c r="CU481" s="50"/>
      <c r="CV481" s="50"/>
      <c r="CW481" s="50"/>
      <c r="CX481" s="50"/>
      <c r="CY481" s="50"/>
      <c r="CZ481" s="50"/>
      <c r="DA481" s="50"/>
      <c r="DB481" s="50"/>
      <c r="DC481" s="50"/>
      <c r="DD481" s="50"/>
      <c r="DE481" s="50"/>
      <c r="DF481" s="50"/>
      <c r="DG481" s="50"/>
      <c r="DH481" s="50"/>
      <c r="DI481" s="50"/>
      <c r="DJ481" s="50"/>
      <c r="DK481" s="50"/>
      <c r="DL481" s="50"/>
      <c r="DM481" s="50"/>
      <c r="DN481" s="50"/>
      <c r="DO481" s="50"/>
      <c r="DP481" s="50"/>
      <c r="DQ481" s="50"/>
      <c r="DR481" s="50"/>
      <c r="DS481" s="50"/>
      <c r="DT481" s="50"/>
      <c r="DU481" s="50"/>
      <c r="DV481" s="50"/>
      <c r="DW481" s="50"/>
      <c r="DX481" s="50"/>
      <c r="DY481" s="50"/>
      <c r="DZ481" s="50"/>
      <c r="EA481" s="50"/>
      <c r="EB481" s="50"/>
      <c r="EC481" s="50"/>
      <c r="ED481" s="50"/>
      <c r="EE481" s="50"/>
      <c r="EF481" s="50"/>
      <c r="EG481" s="50"/>
      <c r="EH481" s="50"/>
      <c r="EI481" s="50"/>
      <c r="EJ481" s="50"/>
      <c r="EK481" s="50"/>
      <c r="EL481" s="50"/>
      <c r="EM481" s="50"/>
      <c r="EN481" s="50"/>
      <c r="EO481" s="50"/>
      <c r="EP481" s="50"/>
      <c r="EQ481" s="50"/>
      <c r="ER481" s="50"/>
      <c r="ES481" s="50"/>
      <c r="ET481" s="50"/>
      <c r="EU481" s="50"/>
      <c r="EV481" s="50"/>
      <c r="EW481" s="50"/>
      <c r="EX481" s="50"/>
      <c r="EY481" s="50"/>
      <c r="EZ481" s="50"/>
      <c r="FA481" s="50"/>
      <c r="FB481" s="50"/>
      <c r="FC481" s="50"/>
      <c r="FD481" s="50"/>
      <c r="FE481" s="50"/>
      <c r="FF481" s="50"/>
      <c r="FG481" s="50"/>
      <c r="FH481" s="50"/>
      <c r="FI481" s="50"/>
      <c r="FJ481" s="50"/>
      <c r="FK481" s="50"/>
      <c r="FL481" s="50"/>
      <c r="FM481" s="50"/>
      <c r="FN481" s="50"/>
      <c r="FO481" s="50"/>
      <c r="FP481" s="50"/>
      <c r="FQ481" s="50"/>
      <c r="FR481" s="50"/>
      <c r="FS481" s="50"/>
      <c r="FT481" s="50"/>
      <c r="FU481" s="50"/>
      <c r="FV481" s="50"/>
      <c r="FW481" s="50"/>
      <c r="FX481" s="50"/>
      <c r="FY481" s="50"/>
      <c r="FZ481" s="50"/>
      <c r="GA481" s="50"/>
      <c r="GB481" s="50"/>
      <c r="GC481" s="50"/>
      <c r="GD481" s="50"/>
      <c r="GE481" s="50"/>
      <c r="GF481" s="50"/>
    </row>
    <row r="482" spans="1:188">
      <c r="A482" s="147"/>
      <c r="B482" s="147"/>
      <c r="C482" s="51"/>
      <c r="D482" s="52"/>
      <c r="E482" s="47"/>
      <c r="F482" s="47"/>
      <c r="G482" s="47"/>
      <c r="H482" s="47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0"/>
      <c r="BR482" s="50"/>
      <c r="BS482" s="50"/>
      <c r="BT482" s="50"/>
      <c r="BU482" s="50"/>
      <c r="BV482" s="50"/>
      <c r="BW482" s="50"/>
      <c r="BX482" s="50"/>
      <c r="BY482" s="50"/>
      <c r="BZ482" s="50"/>
      <c r="CA482" s="50"/>
      <c r="CB482" s="50"/>
      <c r="CC482" s="50"/>
      <c r="CD482" s="50"/>
      <c r="CE482" s="50"/>
      <c r="CF482" s="50"/>
      <c r="CG482" s="50"/>
      <c r="CH482" s="50"/>
      <c r="CI482" s="50"/>
      <c r="CJ482" s="50"/>
      <c r="CK482" s="50"/>
      <c r="CL482" s="50"/>
      <c r="CM482" s="50"/>
      <c r="CN482" s="50"/>
      <c r="CO482" s="50"/>
      <c r="CP482" s="50"/>
      <c r="CQ482" s="50"/>
      <c r="CR482" s="50"/>
      <c r="CS482" s="50"/>
      <c r="CT482" s="50"/>
      <c r="CU482" s="50"/>
      <c r="CV482" s="50"/>
      <c r="CW482" s="50"/>
      <c r="CX482" s="50"/>
      <c r="CY482" s="50"/>
      <c r="CZ482" s="50"/>
      <c r="DA482" s="50"/>
      <c r="DB482" s="50"/>
      <c r="DC482" s="50"/>
      <c r="DD482" s="50"/>
      <c r="DE482" s="50"/>
      <c r="DF482" s="50"/>
      <c r="DG482" s="50"/>
      <c r="DH482" s="50"/>
      <c r="DI482" s="50"/>
      <c r="DJ482" s="50"/>
      <c r="DK482" s="50"/>
      <c r="DL482" s="50"/>
      <c r="DM482" s="50"/>
      <c r="DN482" s="50"/>
      <c r="DO482" s="50"/>
      <c r="DP482" s="50"/>
      <c r="DQ482" s="50"/>
      <c r="DR482" s="50"/>
      <c r="DS482" s="50"/>
      <c r="DT482" s="50"/>
      <c r="DU482" s="50"/>
      <c r="DV482" s="50"/>
      <c r="DW482" s="50"/>
      <c r="DX482" s="50"/>
      <c r="DY482" s="50"/>
      <c r="DZ482" s="50"/>
      <c r="EA482" s="50"/>
      <c r="EB482" s="50"/>
      <c r="EC482" s="50"/>
      <c r="ED482" s="50"/>
      <c r="EE482" s="50"/>
      <c r="EF482" s="50"/>
      <c r="EG482" s="50"/>
      <c r="EH482" s="50"/>
      <c r="EI482" s="50"/>
      <c r="EJ482" s="50"/>
      <c r="EK482" s="50"/>
      <c r="EL482" s="50"/>
      <c r="EM482" s="50"/>
      <c r="EN482" s="50"/>
      <c r="EO482" s="50"/>
      <c r="EP482" s="50"/>
      <c r="EQ482" s="50"/>
      <c r="ER482" s="50"/>
      <c r="ES482" s="50"/>
      <c r="ET482" s="50"/>
      <c r="EU482" s="50"/>
      <c r="EV482" s="50"/>
      <c r="EW482" s="50"/>
      <c r="EX482" s="50"/>
      <c r="EY482" s="50"/>
      <c r="EZ482" s="50"/>
      <c r="FA482" s="50"/>
      <c r="FB482" s="50"/>
      <c r="FC482" s="50"/>
      <c r="FD482" s="50"/>
      <c r="FE482" s="50"/>
      <c r="FF482" s="50"/>
      <c r="FG482" s="50"/>
      <c r="FH482" s="50"/>
      <c r="FI482" s="50"/>
      <c r="FJ482" s="50"/>
      <c r="FK482" s="50"/>
      <c r="FL482" s="50"/>
      <c r="FM482" s="50"/>
      <c r="FN482" s="50"/>
      <c r="FO482" s="50"/>
      <c r="FP482" s="50"/>
      <c r="FQ482" s="50"/>
      <c r="FR482" s="50"/>
      <c r="FS482" s="50"/>
      <c r="FT482" s="50"/>
      <c r="FU482" s="50"/>
      <c r="FV482" s="50"/>
      <c r="FW482" s="50"/>
      <c r="FX482" s="50"/>
      <c r="FY482" s="50"/>
      <c r="FZ482" s="50"/>
      <c r="GA482" s="50"/>
      <c r="GB482" s="50"/>
      <c r="GC482" s="50"/>
      <c r="GD482" s="50"/>
      <c r="GE482" s="50"/>
      <c r="GF482" s="50"/>
    </row>
    <row r="483" spans="1:188">
      <c r="A483" s="147"/>
      <c r="B483" s="147"/>
      <c r="C483" s="51"/>
      <c r="D483" s="52"/>
      <c r="E483" s="47"/>
      <c r="F483" s="47"/>
      <c r="G483" s="47"/>
      <c r="H483" s="47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/>
      <c r="CK483" s="50"/>
      <c r="CL483" s="50"/>
      <c r="CM483" s="50"/>
      <c r="CN483" s="50"/>
      <c r="CO483" s="50"/>
      <c r="CP483" s="50"/>
      <c r="CQ483" s="50"/>
      <c r="CR483" s="50"/>
      <c r="CS483" s="50"/>
      <c r="CT483" s="50"/>
      <c r="CU483" s="50"/>
      <c r="CV483" s="50"/>
      <c r="CW483" s="50"/>
      <c r="CX483" s="50"/>
      <c r="CY483" s="50"/>
      <c r="CZ483" s="50"/>
      <c r="DA483" s="50"/>
      <c r="DB483" s="50"/>
      <c r="DC483" s="50"/>
      <c r="DD483" s="50"/>
      <c r="DE483" s="50"/>
      <c r="DF483" s="50"/>
      <c r="DG483" s="50"/>
      <c r="DH483" s="50"/>
      <c r="DI483" s="50"/>
      <c r="DJ483" s="50"/>
      <c r="DK483" s="50"/>
      <c r="DL483" s="50"/>
      <c r="DM483" s="50"/>
      <c r="DN483" s="50"/>
      <c r="DO483" s="50"/>
      <c r="DP483" s="50"/>
      <c r="DQ483" s="50"/>
      <c r="DR483" s="50"/>
      <c r="DS483" s="50"/>
      <c r="DT483" s="50"/>
      <c r="DU483" s="50"/>
      <c r="DV483" s="50"/>
      <c r="DW483" s="50"/>
      <c r="DX483" s="50"/>
      <c r="DY483" s="50"/>
      <c r="DZ483" s="50"/>
      <c r="EA483" s="50"/>
      <c r="EB483" s="50"/>
      <c r="EC483" s="50"/>
      <c r="ED483" s="50"/>
      <c r="EE483" s="50"/>
      <c r="EF483" s="50"/>
      <c r="EG483" s="50"/>
      <c r="EH483" s="50"/>
      <c r="EI483" s="50"/>
      <c r="EJ483" s="50"/>
      <c r="EK483" s="50"/>
      <c r="EL483" s="50"/>
      <c r="EM483" s="50"/>
      <c r="EN483" s="50"/>
      <c r="EO483" s="50"/>
      <c r="EP483" s="50"/>
      <c r="EQ483" s="50"/>
      <c r="ER483" s="50"/>
      <c r="ES483" s="50"/>
      <c r="ET483" s="50"/>
      <c r="EU483" s="50"/>
      <c r="EV483" s="50"/>
      <c r="EW483" s="50"/>
      <c r="EX483" s="50"/>
      <c r="EY483" s="50"/>
      <c r="EZ483" s="50"/>
      <c r="FA483" s="50"/>
      <c r="FB483" s="50"/>
      <c r="FC483" s="50"/>
      <c r="FD483" s="50"/>
      <c r="FE483" s="50"/>
      <c r="FF483" s="50"/>
      <c r="FG483" s="50"/>
      <c r="FH483" s="50"/>
      <c r="FI483" s="50"/>
      <c r="FJ483" s="50"/>
      <c r="FK483" s="50"/>
      <c r="FL483" s="50"/>
      <c r="FM483" s="50"/>
      <c r="FN483" s="50"/>
      <c r="FO483" s="50"/>
      <c r="FP483" s="50"/>
      <c r="FQ483" s="50"/>
      <c r="FR483" s="50"/>
      <c r="FS483" s="50"/>
      <c r="FT483" s="50"/>
      <c r="FU483" s="50"/>
      <c r="FV483" s="50"/>
      <c r="FW483" s="50"/>
      <c r="FX483" s="50"/>
      <c r="FY483" s="50"/>
      <c r="FZ483" s="50"/>
      <c r="GA483" s="50"/>
      <c r="GB483" s="50"/>
      <c r="GC483" s="50"/>
      <c r="GD483" s="50"/>
      <c r="GE483" s="50"/>
      <c r="GF483" s="50"/>
    </row>
    <row r="484" spans="1:188">
      <c r="A484" s="147"/>
      <c r="B484" s="147"/>
      <c r="C484" s="51"/>
      <c r="D484" s="52"/>
      <c r="E484" s="47"/>
      <c r="F484" s="47"/>
      <c r="G484" s="47"/>
      <c r="H484" s="47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  <c r="BL484" s="50"/>
      <c r="BM484" s="50"/>
      <c r="BN484" s="50"/>
      <c r="BO484" s="50"/>
      <c r="BP484" s="50"/>
      <c r="BQ484" s="50"/>
      <c r="BR484" s="50"/>
      <c r="BS484" s="50"/>
      <c r="BT484" s="50"/>
      <c r="BU484" s="50"/>
      <c r="BV484" s="50"/>
      <c r="BW484" s="50"/>
      <c r="BX484" s="50"/>
      <c r="BY484" s="50"/>
      <c r="BZ484" s="50"/>
      <c r="CA484" s="50"/>
      <c r="CB484" s="50"/>
      <c r="CC484" s="50"/>
      <c r="CD484" s="50"/>
      <c r="CE484" s="50"/>
      <c r="CF484" s="50"/>
      <c r="CG484" s="50"/>
      <c r="CH484" s="50"/>
      <c r="CI484" s="50"/>
      <c r="CJ484" s="50"/>
      <c r="CK484" s="50"/>
      <c r="CL484" s="50"/>
      <c r="CM484" s="50"/>
      <c r="CN484" s="50"/>
      <c r="CO484" s="50"/>
      <c r="CP484" s="50"/>
      <c r="CQ484" s="50"/>
      <c r="CR484" s="50"/>
      <c r="CS484" s="50"/>
      <c r="CT484" s="50"/>
      <c r="CU484" s="50"/>
      <c r="CV484" s="50"/>
      <c r="CW484" s="50"/>
      <c r="CX484" s="50"/>
      <c r="CY484" s="50"/>
      <c r="CZ484" s="50"/>
      <c r="DA484" s="50"/>
      <c r="DB484" s="50"/>
      <c r="DC484" s="50"/>
      <c r="DD484" s="50"/>
      <c r="DE484" s="50"/>
      <c r="DF484" s="50"/>
      <c r="DG484" s="50"/>
      <c r="DH484" s="50"/>
      <c r="DI484" s="50"/>
      <c r="DJ484" s="50"/>
      <c r="DK484" s="50"/>
      <c r="DL484" s="50"/>
      <c r="DM484" s="50"/>
      <c r="DN484" s="50"/>
      <c r="DO484" s="50"/>
      <c r="DP484" s="50"/>
      <c r="DQ484" s="50"/>
      <c r="DR484" s="50"/>
      <c r="DS484" s="50"/>
      <c r="DT484" s="50"/>
      <c r="DU484" s="50"/>
      <c r="DV484" s="50"/>
      <c r="DW484" s="50"/>
      <c r="DX484" s="50"/>
      <c r="DY484" s="50"/>
      <c r="DZ484" s="50"/>
      <c r="EA484" s="50"/>
      <c r="EB484" s="50"/>
      <c r="EC484" s="50"/>
      <c r="ED484" s="50"/>
      <c r="EE484" s="50"/>
      <c r="EF484" s="50"/>
      <c r="EG484" s="50"/>
      <c r="EH484" s="50"/>
      <c r="EI484" s="50"/>
      <c r="EJ484" s="50"/>
      <c r="EK484" s="50"/>
      <c r="EL484" s="50"/>
      <c r="EM484" s="50"/>
      <c r="EN484" s="50"/>
      <c r="EO484" s="50"/>
      <c r="EP484" s="50"/>
      <c r="EQ484" s="50"/>
      <c r="ER484" s="50"/>
      <c r="ES484" s="50"/>
      <c r="ET484" s="50"/>
      <c r="EU484" s="50"/>
      <c r="EV484" s="50"/>
      <c r="EW484" s="50"/>
      <c r="EX484" s="50"/>
      <c r="EY484" s="50"/>
      <c r="EZ484" s="50"/>
      <c r="FA484" s="50"/>
      <c r="FB484" s="50"/>
      <c r="FC484" s="50"/>
      <c r="FD484" s="50"/>
      <c r="FE484" s="50"/>
      <c r="FF484" s="50"/>
      <c r="FG484" s="50"/>
      <c r="FH484" s="50"/>
      <c r="FI484" s="50"/>
      <c r="FJ484" s="50"/>
      <c r="FK484" s="50"/>
      <c r="FL484" s="50"/>
      <c r="FM484" s="50"/>
      <c r="FN484" s="50"/>
      <c r="FO484" s="50"/>
      <c r="FP484" s="50"/>
      <c r="FQ484" s="50"/>
      <c r="FR484" s="50"/>
      <c r="FS484" s="50"/>
      <c r="FT484" s="50"/>
      <c r="FU484" s="50"/>
      <c r="FV484" s="50"/>
      <c r="FW484" s="50"/>
      <c r="FX484" s="50"/>
      <c r="FY484" s="50"/>
      <c r="FZ484" s="50"/>
      <c r="GA484" s="50"/>
      <c r="GB484" s="50"/>
      <c r="GC484" s="50"/>
      <c r="GD484" s="50"/>
      <c r="GE484" s="50"/>
      <c r="GF484" s="50"/>
    </row>
    <row r="485" spans="1:188">
      <c r="A485" s="147"/>
      <c r="B485" s="147"/>
      <c r="C485" s="51"/>
      <c r="D485" s="52"/>
      <c r="E485" s="47"/>
      <c r="F485" s="47"/>
      <c r="G485" s="47"/>
      <c r="H485" s="47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/>
      <c r="CK485" s="50"/>
      <c r="CL485" s="50"/>
      <c r="CM485" s="50"/>
      <c r="CN485" s="50"/>
      <c r="CO485" s="50"/>
      <c r="CP485" s="50"/>
      <c r="CQ485" s="50"/>
      <c r="CR485" s="50"/>
      <c r="CS485" s="50"/>
      <c r="CT485" s="50"/>
      <c r="CU485" s="50"/>
      <c r="CV485" s="50"/>
      <c r="CW485" s="50"/>
      <c r="CX485" s="50"/>
      <c r="CY485" s="50"/>
      <c r="CZ485" s="50"/>
      <c r="DA485" s="50"/>
      <c r="DB485" s="50"/>
      <c r="DC485" s="50"/>
      <c r="DD485" s="50"/>
      <c r="DE485" s="50"/>
      <c r="DF485" s="50"/>
      <c r="DG485" s="50"/>
      <c r="DH485" s="50"/>
      <c r="DI485" s="50"/>
      <c r="DJ485" s="50"/>
      <c r="DK485" s="50"/>
      <c r="DL485" s="50"/>
      <c r="DM485" s="50"/>
      <c r="DN485" s="50"/>
      <c r="DO485" s="50"/>
      <c r="DP485" s="50"/>
      <c r="DQ485" s="50"/>
      <c r="DR485" s="50"/>
      <c r="DS485" s="50"/>
      <c r="DT485" s="50"/>
      <c r="DU485" s="50"/>
      <c r="DV485" s="50"/>
      <c r="DW485" s="50"/>
      <c r="DX485" s="50"/>
      <c r="DY485" s="50"/>
      <c r="DZ485" s="50"/>
      <c r="EA485" s="50"/>
      <c r="EB485" s="50"/>
      <c r="EC485" s="50"/>
      <c r="ED485" s="50"/>
      <c r="EE485" s="50"/>
      <c r="EF485" s="50"/>
      <c r="EG485" s="50"/>
      <c r="EH485" s="50"/>
      <c r="EI485" s="50"/>
      <c r="EJ485" s="50"/>
      <c r="EK485" s="50"/>
      <c r="EL485" s="50"/>
      <c r="EM485" s="50"/>
      <c r="EN485" s="50"/>
      <c r="EO485" s="50"/>
      <c r="EP485" s="50"/>
      <c r="EQ485" s="50"/>
      <c r="ER485" s="50"/>
      <c r="ES485" s="50"/>
      <c r="ET485" s="50"/>
      <c r="EU485" s="50"/>
      <c r="EV485" s="50"/>
      <c r="EW485" s="50"/>
      <c r="EX485" s="50"/>
      <c r="EY485" s="50"/>
      <c r="EZ485" s="50"/>
      <c r="FA485" s="50"/>
      <c r="FB485" s="50"/>
      <c r="FC485" s="50"/>
      <c r="FD485" s="50"/>
      <c r="FE485" s="50"/>
      <c r="FF485" s="50"/>
      <c r="FG485" s="50"/>
      <c r="FH485" s="50"/>
      <c r="FI485" s="50"/>
      <c r="FJ485" s="50"/>
      <c r="FK485" s="50"/>
      <c r="FL485" s="50"/>
      <c r="FM485" s="50"/>
      <c r="FN485" s="50"/>
      <c r="FO485" s="50"/>
      <c r="FP485" s="50"/>
      <c r="FQ485" s="50"/>
      <c r="FR485" s="50"/>
      <c r="FS485" s="50"/>
      <c r="FT485" s="50"/>
      <c r="FU485" s="50"/>
      <c r="FV485" s="50"/>
      <c r="FW485" s="50"/>
      <c r="FX485" s="50"/>
      <c r="FY485" s="50"/>
      <c r="FZ485" s="50"/>
      <c r="GA485" s="50"/>
      <c r="GB485" s="50"/>
      <c r="GC485" s="50"/>
      <c r="GD485" s="50"/>
      <c r="GE485" s="50"/>
      <c r="GF485" s="50"/>
    </row>
    <row r="486" spans="1:188">
      <c r="A486" s="147"/>
      <c r="B486" s="147"/>
      <c r="C486" s="51"/>
      <c r="D486" s="52"/>
      <c r="E486" s="47"/>
      <c r="F486" s="47"/>
      <c r="G486" s="47"/>
      <c r="H486" s="47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/>
      <c r="CK486" s="50"/>
      <c r="CL486" s="50"/>
      <c r="CM486" s="50"/>
      <c r="CN486" s="50"/>
      <c r="CO486" s="50"/>
      <c r="CP486" s="50"/>
      <c r="CQ486" s="50"/>
      <c r="CR486" s="50"/>
      <c r="CS486" s="50"/>
      <c r="CT486" s="50"/>
      <c r="CU486" s="50"/>
      <c r="CV486" s="50"/>
      <c r="CW486" s="50"/>
      <c r="CX486" s="50"/>
      <c r="CY486" s="50"/>
      <c r="CZ486" s="50"/>
      <c r="DA486" s="50"/>
      <c r="DB486" s="50"/>
      <c r="DC486" s="50"/>
      <c r="DD486" s="50"/>
      <c r="DE486" s="50"/>
      <c r="DF486" s="50"/>
      <c r="DG486" s="50"/>
      <c r="DH486" s="50"/>
      <c r="DI486" s="50"/>
      <c r="DJ486" s="50"/>
      <c r="DK486" s="50"/>
      <c r="DL486" s="50"/>
      <c r="DM486" s="50"/>
      <c r="DN486" s="50"/>
      <c r="DO486" s="50"/>
      <c r="DP486" s="50"/>
      <c r="DQ486" s="50"/>
      <c r="DR486" s="50"/>
      <c r="DS486" s="50"/>
      <c r="DT486" s="50"/>
      <c r="DU486" s="50"/>
      <c r="DV486" s="50"/>
      <c r="DW486" s="50"/>
      <c r="DX486" s="50"/>
      <c r="DY486" s="50"/>
      <c r="DZ486" s="50"/>
      <c r="EA486" s="50"/>
      <c r="EB486" s="50"/>
      <c r="EC486" s="50"/>
      <c r="ED486" s="50"/>
      <c r="EE486" s="50"/>
      <c r="EF486" s="50"/>
      <c r="EG486" s="50"/>
      <c r="EH486" s="50"/>
      <c r="EI486" s="50"/>
      <c r="EJ486" s="50"/>
      <c r="EK486" s="50"/>
      <c r="EL486" s="50"/>
      <c r="EM486" s="50"/>
      <c r="EN486" s="50"/>
      <c r="EO486" s="50"/>
      <c r="EP486" s="50"/>
      <c r="EQ486" s="50"/>
      <c r="ER486" s="50"/>
      <c r="ES486" s="50"/>
      <c r="ET486" s="50"/>
      <c r="EU486" s="50"/>
      <c r="EV486" s="50"/>
      <c r="EW486" s="50"/>
      <c r="EX486" s="50"/>
      <c r="EY486" s="50"/>
      <c r="EZ486" s="50"/>
      <c r="FA486" s="50"/>
      <c r="FB486" s="50"/>
      <c r="FC486" s="50"/>
      <c r="FD486" s="50"/>
      <c r="FE486" s="50"/>
      <c r="FF486" s="50"/>
      <c r="FG486" s="50"/>
      <c r="FH486" s="50"/>
      <c r="FI486" s="50"/>
      <c r="FJ486" s="50"/>
      <c r="FK486" s="50"/>
      <c r="FL486" s="50"/>
      <c r="FM486" s="50"/>
      <c r="FN486" s="50"/>
      <c r="FO486" s="50"/>
      <c r="FP486" s="50"/>
      <c r="FQ486" s="50"/>
      <c r="FR486" s="50"/>
      <c r="FS486" s="50"/>
      <c r="FT486" s="50"/>
      <c r="FU486" s="50"/>
      <c r="FV486" s="50"/>
      <c r="FW486" s="50"/>
      <c r="FX486" s="50"/>
      <c r="FY486" s="50"/>
      <c r="FZ486" s="50"/>
      <c r="GA486" s="50"/>
      <c r="GB486" s="50"/>
      <c r="GC486" s="50"/>
      <c r="GD486" s="50"/>
      <c r="GE486" s="50"/>
      <c r="GF486" s="50"/>
    </row>
    <row r="487" spans="1:188">
      <c r="A487" s="147"/>
      <c r="B487" s="147"/>
      <c r="C487" s="51"/>
      <c r="D487" s="52"/>
      <c r="E487" s="47"/>
      <c r="F487" s="47"/>
      <c r="G487" s="47"/>
      <c r="H487" s="47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/>
      <c r="BS487" s="50"/>
      <c r="BT487" s="50"/>
      <c r="BU487" s="50"/>
      <c r="BV487" s="50"/>
      <c r="BW487" s="50"/>
      <c r="BX487" s="50"/>
      <c r="BY487" s="50"/>
      <c r="BZ487" s="50"/>
      <c r="CA487" s="50"/>
      <c r="CB487" s="50"/>
      <c r="CC487" s="50"/>
      <c r="CD487" s="50"/>
      <c r="CE487" s="50"/>
      <c r="CF487" s="50"/>
      <c r="CG487" s="50"/>
      <c r="CH487" s="50"/>
      <c r="CI487" s="50"/>
      <c r="CJ487" s="50"/>
      <c r="CK487" s="50"/>
      <c r="CL487" s="50"/>
      <c r="CM487" s="50"/>
      <c r="CN487" s="50"/>
      <c r="CO487" s="50"/>
      <c r="CP487" s="50"/>
      <c r="CQ487" s="50"/>
      <c r="CR487" s="50"/>
      <c r="CS487" s="50"/>
      <c r="CT487" s="50"/>
      <c r="CU487" s="50"/>
      <c r="CV487" s="50"/>
      <c r="CW487" s="50"/>
      <c r="CX487" s="50"/>
      <c r="CY487" s="50"/>
      <c r="CZ487" s="50"/>
      <c r="DA487" s="50"/>
      <c r="DB487" s="50"/>
      <c r="DC487" s="50"/>
      <c r="DD487" s="50"/>
      <c r="DE487" s="50"/>
      <c r="DF487" s="50"/>
      <c r="DG487" s="50"/>
      <c r="DH487" s="50"/>
      <c r="DI487" s="50"/>
      <c r="DJ487" s="50"/>
      <c r="DK487" s="50"/>
      <c r="DL487" s="50"/>
      <c r="DM487" s="50"/>
      <c r="DN487" s="50"/>
      <c r="DO487" s="50"/>
      <c r="DP487" s="50"/>
      <c r="DQ487" s="50"/>
      <c r="DR487" s="50"/>
      <c r="DS487" s="50"/>
      <c r="DT487" s="50"/>
      <c r="DU487" s="50"/>
      <c r="DV487" s="50"/>
      <c r="DW487" s="50"/>
      <c r="DX487" s="50"/>
      <c r="DY487" s="50"/>
      <c r="DZ487" s="50"/>
      <c r="EA487" s="50"/>
      <c r="EB487" s="50"/>
      <c r="EC487" s="50"/>
      <c r="ED487" s="50"/>
      <c r="EE487" s="50"/>
      <c r="EF487" s="50"/>
      <c r="EG487" s="50"/>
      <c r="EH487" s="50"/>
      <c r="EI487" s="50"/>
      <c r="EJ487" s="50"/>
      <c r="EK487" s="50"/>
      <c r="EL487" s="50"/>
      <c r="EM487" s="50"/>
      <c r="EN487" s="50"/>
      <c r="EO487" s="50"/>
      <c r="EP487" s="50"/>
      <c r="EQ487" s="50"/>
      <c r="ER487" s="50"/>
      <c r="ES487" s="50"/>
      <c r="ET487" s="50"/>
      <c r="EU487" s="50"/>
      <c r="EV487" s="50"/>
      <c r="EW487" s="50"/>
      <c r="EX487" s="50"/>
      <c r="EY487" s="50"/>
      <c r="EZ487" s="50"/>
      <c r="FA487" s="50"/>
      <c r="FB487" s="50"/>
      <c r="FC487" s="50"/>
      <c r="FD487" s="50"/>
      <c r="FE487" s="50"/>
      <c r="FF487" s="50"/>
      <c r="FG487" s="50"/>
      <c r="FH487" s="50"/>
      <c r="FI487" s="50"/>
      <c r="FJ487" s="50"/>
      <c r="FK487" s="50"/>
      <c r="FL487" s="50"/>
      <c r="FM487" s="50"/>
      <c r="FN487" s="50"/>
      <c r="FO487" s="50"/>
      <c r="FP487" s="50"/>
      <c r="FQ487" s="50"/>
      <c r="FR487" s="50"/>
      <c r="FS487" s="50"/>
      <c r="FT487" s="50"/>
      <c r="FU487" s="50"/>
      <c r="FV487" s="50"/>
      <c r="FW487" s="50"/>
      <c r="FX487" s="50"/>
      <c r="FY487" s="50"/>
      <c r="FZ487" s="50"/>
      <c r="GA487" s="50"/>
      <c r="GB487" s="50"/>
      <c r="GC487" s="50"/>
      <c r="GD487" s="50"/>
      <c r="GE487" s="50"/>
      <c r="GF487" s="50"/>
    </row>
    <row r="488" spans="1:188">
      <c r="A488" s="147"/>
      <c r="B488" s="147"/>
      <c r="C488" s="51"/>
      <c r="D488" s="52"/>
      <c r="E488" s="47"/>
      <c r="F488" s="47"/>
      <c r="G488" s="47"/>
      <c r="H488" s="47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/>
      <c r="CD488" s="50"/>
      <c r="CE488" s="50"/>
      <c r="CF488" s="50"/>
      <c r="CG488" s="50"/>
      <c r="CH488" s="50"/>
      <c r="CI488" s="50"/>
      <c r="CJ488" s="50"/>
      <c r="CK488" s="50"/>
      <c r="CL488" s="50"/>
      <c r="CM488" s="50"/>
      <c r="CN488" s="50"/>
      <c r="CO488" s="50"/>
      <c r="CP488" s="50"/>
      <c r="CQ488" s="50"/>
      <c r="CR488" s="50"/>
      <c r="CS488" s="50"/>
      <c r="CT488" s="50"/>
      <c r="CU488" s="50"/>
      <c r="CV488" s="50"/>
      <c r="CW488" s="50"/>
      <c r="CX488" s="50"/>
      <c r="CY488" s="50"/>
      <c r="CZ488" s="50"/>
      <c r="DA488" s="50"/>
      <c r="DB488" s="50"/>
      <c r="DC488" s="50"/>
      <c r="DD488" s="50"/>
      <c r="DE488" s="50"/>
      <c r="DF488" s="50"/>
      <c r="DG488" s="50"/>
      <c r="DH488" s="50"/>
      <c r="DI488" s="50"/>
      <c r="DJ488" s="50"/>
      <c r="DK488" s="50"/>
      <c r="DL488" s="50"/>
      <c r="DM488" s="50"/>
      <c r="DN488" s="50"/>
      <c r="DO488" s="50"/>
      <c r="DP488" s="50"/>
      <c r="DQ488" s="50"/>
      <c r="DR488" s="50"/>
      <c r="DS488" s="50"/>
      <c r="DT488" s="50"/>
      <c r="DU488" s="50"/>
      <c r="DV488" s="50"/>
      <c r="DW488" s="50"/>
      <c r="DX488" s="50"/>
      <c r="DY488" s="50"/>
      <c r="DZ488" s="50"/>
      <c r="EA488" s="50"/>
      <c r="EB488" s="50"/>
      <c r="EC488" s="50"/>
      <c r="ED488" s="50"/>
      <c r="EE488" s="50"/>
      <c r="EF488" s="50"/>
      <c r="EG488" s="50"/>
      <c r="EH488" s="50"/>
      <c r="EI488" s="50"/>
      <c r="EJ488" s="50"/>
      <c r="EK488" s="50"/>
      <c r="EL488" s="50"/>
      <c r="EM488" s="50"/>
      <c r="EN488" s="50"/>
      <c r="EO488" s="50"/>
      <c r="EP488" s="50"/>
      <c r="EQ488" s="50"/>
      <c r="ER488" s="50"/>
      <c r="ES488" s="50"/>
      <c r="ET488" s="50"/>
      <c r="EU488" s="50"/>
      <c r="EV488" s="50"/>
      <c r="EW488" s="50"/>
      <c r="EX488" s="50"/>
      <c r="EY488" s="50"/>
      <c r="EZ488" s="50"/>
      <c r="FA488" s="50"/>
      <c r="FB488" s="50"/>
      <c r="FC488" s="50"/>
      <c r="FD488" s="50"/>
      <c r="FE488" s="50"/>
      <c r="FF488" s="50"/>
      <c r="FG488" s="50"/>
      <c r="FH488" s="50"/>
      <c r="FI488" s="50"/>
      <c r="FJ488" s="50"/>
      <c r="FK488" s="50"/>
      <c r="FL488" s="50"/>
      <c r="FM488" s="50"/>
      <c r="FN488" s="50"/>
      <c r="FO488" s="50"/>
      <c r="FP488" s="50"/>
      <c r="FQ488" s="50"/>
      <c r="FR488" s="50"/>
      <c r="FS488" s="50"/>
      <c r="FT488" s="50"/>
      <c r="FU488" s="50"/>
      <c r="FV488" s="50"/>
      <c r="FW488" s="50"/>
      <c r="FX488" s="50"/>
      <c r="FY488" s="50"/>
      <c r="FZ488" s="50"/>
      <c r="GA488" s="50"/>
      <c r="GB488" s="50"/>
      <c r="GC488" s="50"/>
      <c r="GD488" s="50"/>
      <c r="GE488" s="50"/>
      <c r="GF488" s="50"/>
    </row>
    <row r="489" spans="1:188">
      <c r="A489" s="147"/>
      <c r="B489" s="147"/>
      <c r="C489" s="51"/>
      <c r="D489" s="52"/>
      <c r="E489" s="47"/>
      <c r="F489" s="47"/>
      <c r="G489" s="47"/>
      <c r="H489" s="47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/>
      <c r="CK489" s="50"/>
      <c r="CL489" s="50"/>
      <c r="CM489" s="50"/>
      <c r="CN489" s="50"/>
      <c r="CO489" s="50"/>
      <c r="CP489" s="50"/>
      <c r="CQ489" s="50"/>
      <c r="CR489" s="50"/>
      <c r="CS489" s="50"/>
      <c r="CT489" s="50"/>
      <c r="CU489" s="50"/>
      <c r="CV489" s="50"/>
      <c r="CW489" s="50"/>
      <c r="CX489" s="50"/>
      <c r="CY489" s="50"/>
      <c r="CZ489" s="50"/>
      <c r="DA489" s="50"/>
      <c r="DB489" s="50"/>
      <c r="DC489" s="50"/>
      <c r="DD489" s="50"/>
      <c r="DE489" s="50"/>
      <c r="DF489" s="50"/>
      <c r="DG489" s="50"/>
      <c r="DH489" s="50"/>
      <c r="DI489" s="50"/>
      <c r="DJ489" s="50"/>
      <c r="DK489" s="50"/>
      <c r="DL489" s="50"/>
      <c r="DM489" s="50"/>
      <c r="DN489" s="50"/>
      <c r="DO489" s="50"/>
      <c r="DP489" s="50"/>
      <c r="DQ489" s="50"/>
      <c r="DR489" s="50"/>
      <c r="DS489" s="50"/>
      <c r="DT489" s="50"/>
      <c r="DU489" s="50"/>
      <c r="DV489" s="50"/>
      <c r="DW489" s="50"/>
      <c r="DX489" s="50"/>
      <c r="DY489" s="50"/>
      <c r="DZ489" s="50"/>
      <c r="EA489" s="50"/>
      <c r="EB489" s="50"/>
      <c r="EC489" s="50"/>
      <c r="ED489" s="50"/>
      <c r="EE489" s="50"/>
      <c r="EF489" s="50"/>
      <c r="EG489" s="50"/>
      <c r="EH489" s="50"/>
      <c r="EI489" s="50"/>
      <c r="EJ489" s="50"/>
      <c r="EK489" s="50"/>
      <c r="EL489" s="50"/>
      <c r="EM489" s="50"/>
      <c r="EN489" s="50"/>
      <c r="EO489" s="50"/>
      <c r="EP489" s="50"/>
      <c r="EQ489" s="50"/>
      <c r="ER489" s="50"/>
      <c r="ES489" s="50"/>
      <c r="ET489" s="50"/>
      <c r="EU489" s="50"/>
      <c r="EV489" s="50"/>
      <c r="EW489" s="50"/>
      <c r="EX489" s="50"/>
      <c r="EY489" s="50"/>
      <c r="EZ489" s="50"/>
      <c r="FA489" s="50"/>
      <c r="FB489" s="50"/>
      <c r="FC489" s="50"/>
      <c r="FD489" s="50"/>
      <c r="FE489" s="50"/>
      <c r="FF489" s="50"/>
      <c r="FG489" s="50"/>
      <c r="FH489" s="50"/>
      <c r="FI489" s="50"/>
      <c r="FJ489" s="50"/>
      <c r="FK489" s="50"/>
      <c r="FL489" s="50"/>
      <c r="FM489" s="50"/>
      <c r="FN489" s="50"/>
      <c r="FO489" s="50"/>
      <c r="FP489" s="50"/>
      <c r="FQ489" s="50"/>
      <c r="FR489" s="50"/>
      <c r="FS489" s="50"/>
      <c r="FT489" s="50"/>
      <c r="FU489" s="50"/>
      <c r="FV489" s="50"/>
      <c r="FW489" s="50"/>
      <c r="FX489" s="50"/>
      <c r="FY489" s="50"/>
      <c r="FZ489" s="50"/>
      <c r="GA489" s="50"/>
      <c r="GB489" s="50"/>
      <c r="GC489" s="50"/>
      <c r="GD489" s="50"/>
      <c r="GE489" s="50"/>
      <c r="GF489" s="50"/>
    </row>
    <row r="490" spans="1:188">
      <c r="A490" s="147"/>
      <c r="B490" s="147"/>
      <c r="C490" s="51"/>
      <c r="D490" s="52"/>
      <c r="E490" s="47"/>
      <c r="F490" s="47"/>
      <c r="G490" s="47"/>
      <c r="H490" s="47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/>
      <c r="CK490" s="50"/>
      <c r="CL490" s="50"/>
      <c r="CM490" s="50"/>
      <c r="CN490" s="50"/>
      <c r="CO490" s="50"/>
      <c r="CP490" s="50"/>
      <c r="CQ490" s="50"/>
      <c r="CR490" s="50"/>
      <c r="CS490" s="50"/>
      <c r="CT490" s="50"/>
      <c r="CU490" s="50"/>
      <c r="CV490" s="50"/>
      <c r="CW490" s="50"/>
      <c r="CX490" s="50"/>
      <c r="CY490" s="50"/>
      <c r="CZ490" s="50"/>
      <c r="DA490" s="50"/>
      <c r="DB490" s="50"/>
      <c r="DC490" s="50"/>
      <c r="DD490" s="50"/>
      <c r="DE490" s="50"/>
      <c r="DF490" s="50"/>
      <c r="DG490" s="50"/>
      <c r="DH490" s="50"/>
      <c r="DI490" s="50"/>
      <c r="DJ490" s="50"/>
      <c r="DK490" s="50"/>
      <c r="DL490" s="50"/>
      <c r="DM490" s="50"/>
      <c r="DN490" s="50"/>
      <c r="DO490" s="50"/>
      <c r="DP490" s="50"/>
      <c r="DQ490" s="50"/>
      <c r="DR490" s="50"/>
      <c r="DS490" s="50"/>
      <c r="DT490" s="50"/>
      <c r="DU490" s="50"/>
      <c r="DV490" s="50"/>
      <c r="DW490" s="50"/>
      <c r="DX490" s="50"/>
      <c r="DY490" s="50"/>
      <c r="DZ490" s="50"/>
      <c r="EA490" s="50"/>
      <c r="EB490" s="50"/>
      <c r="EC490" s="50"/>
      <c r="ED490" s="50"/>
      <c r="EE490" s="50"/>
      <c r="EF490" s="50"/>
      <c r="EG490" s="50"/>
      <c r="EH490" s="50"/>
      <c r="EI490" s="50"/>
      <c r="EJ490" s="50"/>
      <c r="EK490" s="50"/>
      <c r="EL490" s="50"/>
      <c r="EM490" s="50"/>
      <c r="EN490" s="50"/>
      <c r="EO490" s="50"/>
      <c r="EP490" s="50"/>
      <c r="EQ490" s="50"/>
      <c r="ER490" s="50"/>
      <c r="ES490" s="50"/>
      <c r="ET490" s="50"/>
      <c r="EU490" s="50"/>
      <c r="EV490" s="50"/>
      <c r="EW490" s="50"/>
      <c r="EX490" s="50"/>
      <c r="EY490" s="50"/>
      <c r="EZ490" s="50"/>
      <c r="FA490" s="50"/>
      <c r="FB490" s="50"/>
      <c r="FC490" s="50"/>
      <c r="FD490" s="50"/>
      <c r="FE490" s="50"/>
      <c r="FF490" s="50"/>
      <c r="FG490" s="50"/>
      <c r="FH490" s="50"/>
      <c r="FI490" s="50"/>
      <c r="FJ490" s="50"/>
      <c r="FK490" s="50"/>
      <c r="FL490" s="50"/>
      <c r="FM490" s="50"/>
      <c r="FN490" s="50"/>
      <c r="FO490" s="50"/>
      <c r="FP490" s="50"/>
      <c r="FQ490" s="50"/>
      <c r="FR490" s="50"/>
      <c r="FS490" s="50"/>
      <c r="FT490" s="50"/>
      <c r="FU490" s="50"/>
      <c r="FV490" s="50"/>
      <c r="FW490" s="50"/>
      <c r="FX490" s="50"/>
      <c r="FY490" s="50"/>
      <c r="FZ490" s="50"/>
      <c r="GA490" s="50"/>
      <c r="GB490" s="50"/>
      <c r="GC490" s="50"/>
      <c r="GD490" s="50"/>
      <c r="GE490" s="50"/>
      <c r="GF490" s="50"/>
    </row>
    <row r="491" spans="1:188">
      <c r="A491" s="147"/>
      <c r="B491" s="147"/>
      <c r="C491" s="51"/>
      <c r="D491" s="52"/>
      <c r="E491" s="47"/>
      <c r="F491" s="47"/>
      <c r="G491" s="47"/>
      <c r="H491" s="47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/>
      <c r="CZ491" s="50"/>
      <c r="DA491" s="50"/>
      <c r="DB491" s="50"/>
      <c r="DC491" s="50"/>
      <c r="DD491" s="50"/>
      <c r="DE491" s="50"/>
      <c r="DF491" s="50"/>
      <c r="DG491" s="50"/>
      <c r="DH491" s="50"/>
      <c r="DI491" s="50"/>
      <c r="DJ491" s="50"/>
      <c r="DK491" s="50"/>
      <c r="DL491" s="50"/>
      <c r="DM491" s="50"/>
      <c r="DN491" s="50"/>
      <c r="DO491" s="50"/>
      <c r="DP491" s="50"/>
      <c r="DQ491" s="50"/>
      <c r="DR491" s="50"/>
      <c r="DS491" s="50"/>
      <c r="DT491" s="50"/>
      <c r="DU491" s="50"/>
      <c r="DV491" s="50"/>
      <c r="DW491" s="50"/>
      <c r="DX491" s="50"/>
      <c r="DY491" s="50"/>
      <c r="DZ491" s="50"/>
      <c r="EA491" s="50"/>
      <c r="EB491" s="50"/>
      <c r="EC491" s="50"/>
      <c r="ED491" s="50"/>
      <c r="EE491" s="50"/>
      <c r="EF491" s="50"/>
      <c r="EG491" s="50"/>
      <c r="EH491" s="50"/>
      <c r="EI491" s="50"/>
      <c r="EJ491" s="50"/>
      <c r="EK491" s="50"/>
      <c r="EL491" s="50"/>
      <c r="EM491" s="50"/>
      <c r="EN491" s="50"/>
      <c r="EO491" s="50"/>
      <c r="EP491" s="50"/>
      <c r="EQ491" s="50"/>
      <c r="ER491" s="50"/>
      <c r="ES491" s="50"/>
      <c r="ET491" s="50"/>
      <c r="EU491" s="50"/>
      <c r="EV491" s="50"/>
      <c r="EW491" s="50"/>
      <c r="EX491" s="50"/>
      <c r="EY491" s="50"/>
      <c r="EZ491" s="50"/>
      <c r="FA491" s="50"/>
      <c r="FB491" s="50"/>
      <c r="FC491" s="50"/>
      <c r="FD491" s="50"/>
      <c r="FE491" s="50"/>
      <c r="FF491" s="50"/>
      <c r="FG491" s="50"/>
      <c r="FH491" s="50"/>
      <c r="FI491" s="50"/>
      <c r="FJ491" s="50"/>
      <c r="FK491" s="50"/>
      <c r="FL491" s="50"/>
      <c r="FM491" s="50"/>
      <c r="FN491" s="50"/>
      <c r="FO491" s="50"/>
      <c r="FP491" s="50"/>
      <c r="FQ491" s="50"/>
      <c r="FR491" s="50"/>
      <c r="FS491" s="50"/>
      <c r="FT491" s="50"/>
      <c r="FU491" s="50"/>
      <c r="FV491" s="50"/>
      <c r="FW491" s="50"/>
      <c r="FX491" s="50"/>
      <c r="FY491" s="50"/>
      <c r="FZ491" s="50"/>
      <c r="GA491" s="50"/>
      <c r="GB491" s="50"/>
      <c r="GC491" s="50"/>
      <c r="GD491" s="50"/>
      <c r="GE491" s="50"/>
      <c r="GF491" s="50"/>
    </row>
    <row r="492" spans="1:188">
      <c r="A492" s="147"/>
      <c r="B492" s="147"/>
      <c r="C492" s="51"/>
      <c r="D492" s="52"/>
      <c r="E492" s="47"/>
      <c r="F492" s="47"/>
      <c r="G492" s="47"/>
      <c r="H492" s="47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0"/>
      <c r="BR492" s="50"/>
      <c r="BS492" s="50"/>
      <c r="BT492" s="50"/>
      <c r="BU492" s="50"/>
      <c r="BV492" s="50"/>
      <c r="BW492" s="50"/>
      <c r="BX492" s="50"/>
      <c r="BY492" s="50"/>
      <c r="BZ492" s="50"/>
      <c r="CA492" s="50"/>
      <c r="CB492" s="50"/>
      <c r="CC492" s="50"/>
      <c r="CD492" s="50"/>
      <c r="CE492" s="50"/>
      <c r="CF492" s="50"/>
      <c r="CG492" s="50"/>
      <c r="CH492" s="50"/>
      <c r="CI492" s="50"/>
      <c r="CJ492" s="50"/>
      <c r="CK492" s="50"/>
      <c r="CL492" s="50"/>
      <c r="CM492" s="50"/>
      <c r="CN492" s="50"/>
      <c r="CO492" s="50"/>
      <c r="CP492" s="50"/>
      <c r="CQ492" s="50"/>
      <c r="CR492" s="50"/>
      <c r="CS492" s="50"/>
      <c r="CT492" s="50"/>
      <c r="CU492" s="50"/>
      <c r="CV492" s="50"/>
      <c r="CW492" s="50"/>
      <c r="CX492" s="50"/>
      <c r="CY492" s="50"/>
      <c r="CZ492" s="50"/>
      <c r="DA492" s="50"/>
      <c r="DB492" s="50"/>
      <c r="DC492" s="50"/>
      <c r="DD492" s="50"/>
      <c r="DE492" s="50"/>
      <c r="DF492" s="50"/>
      <c r="DG492" s="50"/>
      <c r="DH492" s="50"/>
      <c r="DI492" s="50"/>
      <c r="DJ492" s="50"/>
      <c r="DK492" s="50"/>
      <c r="DL492" s="50"/>
      <c r="DM492" s="50"/>
      <c r="DN492" s="50"/>
      <c r="DO492" s="50"/>
      <c r="DP492" s="50"/>
      <c r="DQ492" s="50"/>
      <c r="DR492" s="50"/>
      <c r="DS492" s="50"/>
      <c r="DT492" s="50"/>
      <c r="DU492" s="50"/>
      <c r="DV492" s="50"/>
      <c r="DW492" s="50"/>
      <c r="DX492" s="50"/>
      <c r="DY492" s="50"/>
      <c r="DZ492" s="50"/>
      <c r="EA492" s="50"/>
      <c r="EB492" s="50"/>
      <c r="EC492" s="50"/>
      <c r="ED492" s="50"/>
      <c r="EE492" s="50"/>
      <c r="EF492" s="50"/>
      <c r="EG492" s="50"/>
      <c r="EH492" s="50"/>
      <c r="EI492" s="50"/>
      <c r="EJ492" s="50"/>
      <c r="EK492" s="50"/>
      <c r="EL492" s="50"/>
      <c r="EM492" s="50"/>
      <c r="EN492" s="50"/>
      <c r="EO492" s="50"/>
      <c r="EP492" s="50"/>
      <c r="EQ492" s="50"/>
      <c r="ER492" s="50"/>
      <c r="ES492" s="50"/>
      <c r="ET492" s="50"/>
      <c r="EU492" s="50"/>
      <c r="EV492" s="50"/>
      <c r="EW492" s="50"/>
      <c r="EX492" s="50"/>
      <c r="EY492" s="50"/>
      <c r="EZ492" s="50"/>
      <c r="FA492" s="50"/>
      <c r="FB492" s="50"/>
      <c r="FC492" s="50"/>
      <c r="FD492" s="50"/>
      <c r="FE492" s="50"/>
      <c r="FF492" s="50"/>
      <c r="FG492" s="50"/>
      <c r="FH492" s="50"/>
      <c r="FI492" s="50"/>
      <c r="FJ492" s="50"/>
      <c r="FK492" s="50"/>
      <c r="FL492" s="50"/>
      <c r="FM492" s="50"/>
      <c r="FN492" s="50"/>
      <c r="FO492" s="50"/>
      <c r="FP492" s="50"/>
      <c r="FQ492" s="50"/>
      <c r="FR492" s="50"/>
      <c r="FS492" s="50"/>
      <c r="FT492" s="50"/>
      <c r="FU492" s="50"/>
      <c r="FV492" s="50"/>
      <c r="FW492" s="50"/>
      <c r="FX492" s="50"/>
      <c r="FY492" s="50"/>
      <c r="FZ492" s="50"/>
      <c r="GA492" s="50"/>
      <c r="GB492" s="50"/>
      <c r="GC492" s="50"/>
      <c r="GD492" s="50"/>
      <c r="GE492" s="50"/>
      <c r="GF492" s="50"/>
    </row>
    <row r="493" spans="1:188">
      <c r="A493" s="147"/>
      <c r="B493" s="147"/>
      <c r="C493" s="51"/>
      <c r="D493" s="52"/>
      <c r="E493" s="47"/>
      <c r="F493" s="47"/>
      <c r="G493" s="47"/>
      <c r="H493" s="47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  <c r="CE493" s="50"/>
      <c r="CF493" s="50"/>
      <c r="CG493" s="50"/>
      <c r="CH493" s="50"/>
      <c r="CI493" s="50"/>
      <c r="CJ493" s="50"/>
      <c r="CK493" s="50"/>
      <c r="CL493" s="50"/>
      <c r="CM493" s="50"/>
      <c r="CN493" s="50"/>
      <c r="CO493" s="50"/>
      <c r="CP493" s="50"/>
      <c r="CQ493" s="50"/>
      <c r="CR493" s="50"/>
      <c r="CS493" s="50"/>
      <c r="CT493" s="50"/>
      <c r="CU493" s="50"/>
      <c r="CV493" s="50"/>
      <c r="CW493" s="50"/>
      <c r="CX493" s="50"/>
      <c r="CY493" s="50"/>
      <c r="CZ493" s="50"/>
      <c r="DA493" s="50"/>
      <c r="DB493" s="50"/>
      <c r="DC493" s="50"/>
      <c r="DD493" s="50"/>
      <c r="DE493" s="50"/>
      <c r="DF493" s="50"/>
      <c r="DG493" s="50"/>
      <c r="DH493" s="50"/>
      <c r="DI493" s="50"/>
      <c r="DJ493" s="50"/>
      <c r="DK493" s="50"/>
      <c r="DL493" s="50"/>
      <c r="DM493" s="50"/>
      <c r="DN493" s="50"/>
      <c r="DO493" s="50"/>
      <c r="DP493" s="50"/>
      <c r="DQ493" s="50"/>
      <c r="DR493" s="50"/>
      <c r="DS493" s="50"/>
      <c r="DT493" s="50"/>
      <c r="DU493" s="50"/>
      <c r="DV493" s="50"/>
      <c r="DW493" s="50"/>
      <c r="DX493" s="50"/>
      <c r="DY493" s="50"/>
      <c r="DZ493" s="50"/>
      <c r="EA493" s="50"/>
      <c r="EB493" s="50"/>
      <c r="EC493" s="50"/>
      <c r="ED493" s="50"/>
      <c r="EE493" s="50"/>
      <c r="EF493" s="50"/>
      <c r="EG493" s="50"/>
      <c r="EH493" s="50"/>
      <c r="EI493" s="50"/>
      <c r="EJ493" s="50"/>
      <c r="EK493" s="50"/>
      <c r="EL493" s="50"/>
      <c r="EM493" s="50"/>
      <c r="EN493" s="50"/>
      <c r="EO493" s="50"/>
      <c r="EP493" s="50"/>
      <c r="EQ493" s="50"/>
      <c r="ER493" s="50"/>
      <c r="ES493" s="50"/>
      <c r="ET493" s="50"/>
      <c r="EU493" s="50"/>
      <c r="EV493" s="50"/>
      <c r="EW493" s="50"/>
      <c r="EX493" s="50"/>
      <c r="EY493" s="50"/>
      <c r="EZ493" s="50"/>
      <c r="FA493" s="50"/>
      <c r="FB493" s="50"/>
      <c r="FC493" s="50"/>
      <c r="FD493" s="50"/>
      <c r="FE493" s="50"/>
      <c r="FF493" s="50"/>
      <c r="FG493" s="50"/>
      <c r="FH493" s="50"/>
      <c r="FI493" s="50"/>
      <c r="FJ493" s="50"/>
      <c r="FK493" s="50"/>
      <c r="FL493" s="50"/>
      <c r="FM493" s="50"/>
      <c r="FN493" s="50"/>
      <c r="FO493" s="50"/>
      <c r="FP493" s="50"/>
      <c r="FQ493" s="50"/>
      <c r="FR493" s="50"/>
      <c r="FS493" s="50"/>
      <c r="FT493" s="50"/>
      <c r="FU493" s="50"/>
      <c r="FV493" s="50"/>
      <c r="FW493" s="50"/>
      <c r="FX493" s="50"/>
      <c r="FY493" s="50"/>
      <c r="FZ493" s="50"/>
      <c r="GA493" s="50"/>
      <c r="GB493" s="50"/>
      <c r="GC493" s="50"/>
      <c r="GD493" s="50"/>
      <c r="GE493" s="50"/>
      <c r="GF493" s="50"/>
    </row>
    <row r="494" spans="1:188">
      <c r="A494" s="147"/>
      <c r="B494" s="147"/>
      <c r="C494" s="51"/>
      <c r="D494" s="52"/>
      <c r="E494" s="47"/>
      <c r="F494" s="47"/>
      <c r="G494" s="47"/>
      <c r="H494" s="47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0"/>
      <c r="BR494" s="50"/>
      <c r="BS494" s="50"/>
      <c r="BT494" s="50"/>
      <c r="BU494" s="50"/>
      <c r="BV494" s="50"/>
      <c r="BW494" s="50"/>
      <c r="BX494" s="50"/>
      <c r="BY494" s="50"/>
      <c r="BZ494" s="50"/>
      <c r="CA494" s="50"/>
      <c r="CB494" s="50"/>
      <c r="CC494" s="50"/>
      <c r="CD494" s="50"/>
      <c r="CE494" s="50"/>
      <c r="CF494" s="50"/>
      <c r="CG494" s="50"/>
      <c r="CH494" s="50"/>
      <c r="CI494" s="50"/>
      <c r="CJ494" s="50"/>
      <c r="CK494" s="50"/>
      <c r="CL494" s="50"/>
      <c r="CM494" s="50"/>
      <c r="CN494" s="50"/>
      <c r="CO494" s="50"/>
      <c r="CP494" s="50"/>
      <c r="CQ494" s="50"/>
      <c r="CR494" s="50"/>
      <c r="CS494" s="50"/>
      <c r="CT494" s="50"/>
      <c r="CU494" s="50"/>
      <c r="CV494" s="50"/>
      <c r="CW494" s="50"/>
      <c r="CX494" s="50"/>
      <c r="CY494" s="50"/>
      <c r="CZ494" s="50"/>
      <c r="DA494" s="50"/>
      <c r="DB494" s="50"/>
      <c r="DC494" s="50"/>
      <c r="DD494" s="50"/>
      <c r="DE494" s="50"/>
      <c r="DF494" s="50"/>
      <c r="DG494" s="50"/>
      <c r="DH494" s="50"/>
      <c r="DI494" s="50"/>
      <c r="DJ494" s="50"/>
      <c r="DK494" s="50"/>
      <c r="DL494" s="50"/>
      <c r="DM494" s="50"/>
      <c r="DN494" s="50"/>
      <c r="DO494" s="50"/>
      <c r="DP494" s="50"/>
      <c r="DQ494" s="50"/>
      <c r="DR494" s="50"/>
      <c r="DS494" s="50"/>
      <c r="DT494" s="50"/>
      <c r="DU494" s="50"/>
      <c r="DV494" s="50"/>
      <c r="DW494" s="50"/>
      <c r="DX494" s="50"/>
      <c r="DY494" s="50"/>
      <c r="DZ494" s="50"/>
      <c r="EA494" s="50"/>
      <c r="EB494" s="50"/>
      <c r="EC494" s="50"/>
      <c r="ED494" s="50"/>
      <c r="EE494" s="50"/>
      <c r="EF494" s="50"/>
      <c r="EG494" s="50"/>
      <c r="EH494" s="50"/>
      <c r="EI494" s="50"/>
      <c r="EJ494" s="50"/>
      <c r="EK494" s="50"/>
      <c r="EL494" s="50"/>
      <c r="EM494" s="50"/>
      <c r="EN494" s="50"/>
      <c r="EO494" s="50"/>
      <c r="EP494" s="50"/>
      <c r="EQ494" s="50"/>
      <c r="ER494" s="50"/>
      <c r="ES494" s="50"/>
      <c r="ET494" s="50"/>
      <c r="EU494" s="50"/>
      <c r="EV494" s="50"/>
      <c r="EW494" s="50"/>
      <c r="EX494" s="50"/>
      <c r="EY494" s="50"/>
      <c r="EZ494" s="50"/>
      <c r="FA494" s="50"/>
      <c r="FB494" s="50"/>
      <c r="FC494" s="50"/>
      <c r="FD494" s="50"/>
      <c r="FE494" s="50"/>
      <c r="FF494" s="50"/>
      <c r="FG494" s="50"/>
      <c r="FH494" s="50"/>
      <c r="FI494" s="50"/>
      <c r="FJ494" s="50"/>
      <c r="FK494" s="50"/>
      <c r="FL494" s="50"/>
      <c r="FM494" s="50"/>
      <c r="FN494" s="50"/>
      <c r="FO494" s="50"/>
      <c r="FP494" s="50"/>
      <c r="FQ494" s="50"/>
      <c r="FR494" s="50"/>
      <c r="FS494" s="50"/>
      <c r="FT494" s="50"/>
      <c r="FU494" s="50"/>
      <c r="FV494" s="50"/>
      <c r="FW494" s="50"/>
      <c r="FX494" s="50"/>
      <c r="FY494" s="50"/>
      <c r="FZ494" s="50"/>
      <c r="GA494" s="50"/>
      <c r="GB494" s="50"/>
      <c r="GC494" s="50"/>
      <c r="GD494" s="50"/>
      <c r="GE494" s="50"/>
      <c r="GF494" s="50"/>
    </row>
    <row r="495" spans="1:188">
      <c r="A495" s="147"/>
      <c r="B495" s="147"/>
      <c r="C495" s="51"/>
      <c r="D495" s="52"/>
      <c r="E495" s="47"/>
      <c r="F495" s="47"/>
      <c r="G495" s="47"/>
      <c r="H495" s="47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  <c r="BL495" s="50"/>
      <c r="BM495" s="50"/>
      <c r="BN495" s="50"/>
      <c r="BO495" s="50"/>
      <c r="BP495" s="50"/>
      <c r="BQ495" s="50"/>
      <c r="BR495" s="50"/>
      <c r="BS495" s="50"/>
      <c r="BT495" s="50"/>
      <c r="BU495" s="50"/>
      <c r="BV495" s="50"/>
      <c r="BW495" s="50"/>
      <c r="BX495" s="50"/>
      <c r="BY495" s="50"/>
      <c r="BZ495" s="50"/>
      <c r="CA495" s="50"/>
      <c r="CB495" s="50"/>
      <c r="CC495" s="50"/>
      <c r="CD495" s="50"/>
      <c r="CE495" s="50"/>
      <c r="CF495" s="50"/>
      <c r="CG495" s="50"/>
      <c r="CH495" s="50"/>
      <c r="CI495" s="50"/>
      <c r="CJ495" s="50"/>
      <c r="CK495" s="50"/>
      <c r="CL495" s="50"/>
      <c r="CM495" s="50"/>
      <c r="CN495" s="50"/>
      <c r="CO495" s="50"/>
      <c r="CP495" s="50"/>
      <c r="CQ495" s="50"/>
      <c r="CR495" s="50"/>
      <c r="CS495" s="50"/>
      <c r="CT495" s="50"/>
      <c r="CU495" s="50"/>
      <c r="CV495" s="50"/>
      <c r="CW495" s="50"/>
      <c r="CX495" s="50"/>
      <c r="CY495" s="50"/>
      <c r="CZ495" s="50"/>
      <c r="DA495" s="50"/>
      <c r="DB495" s="50"/>
      <c r="DC495" s="50"/>
      <c r="DD495" s="50"/>
      <c r="DE495" s="50"/>
      <c r="DF495" s="50"/>
      <c r="DG495" s="50"/>
      <c r="DH495" s="50"/>
      <c r="DI495" s="50"/>
      <c r="DJ495" s="50"/>
      <c r="DK495" s="50"/>
      <c r="DL495" s="50"/>
      <c r="DM495" s="50"/>
      <c r="DN495" s="50"/>
      <c r="DO495" s="50"/>
      <c r="DP495" s="50"/>
      <c r="DQ495" s="50"/>
      <c r="DR495" s="50"/>
      <c r="DS495" s="50"/>
      <c r="DT495" s="50"/>
      <c r="DU495" s="50"/>
      <c r="DV495" s="50"/>
      <c r="DW495" s="50"/>
      <c r="DX495" s="50"/>
      <c r="DY495" s="50"/>
      <c r="DZ495" s="50"/>
      <c r="EA495" s="50"/>
      <c r="EB495" s="50"/>
      <c r="EC495" s="50"/>
      <c r="ED495" s="50"/>
      <c r="EE495" s="50"/>
      <c r="EF495" s="50"/>
      <c r="EG495" s="50"/>
      <c r="EH495" s="50"/>
      <c r="EI495" s="50"/>
      <c r="EJ495" s="50"/>
      <c r="EK495" s="50"/>
      <c r="EL495" s="50"/>
      <c r="EM495" s="50"/>
      <c r="EN495" s="50"/>
      <c r="EO495" s="50"/>
      <c r="EP495" s="50"/>
      <c r="EQ495" s="50"/>
      <c r="ER495" s="50"/>
      <c r="ES495" s="50"/>
      <c r="ET495" s="50"/>
      <c r="EU495" s="50"/>
      <c r="EV495" s="50"/>
      <c r="EW495" s="50"/>
      <c r="EX495" s="50"/>
      <c r="EY495" s="50"/>
      <c r="EZ495" s="50"/>
      <c r="FA495" s="50"/>
      <c r="FB495" s="50"/>
      <c r="FC495" s="50"/>
      <c r="FD495" s="50"/>
      <c r="FE495" s="50"/>
      <c r="FF495" s="50"/>
      <c r="FG495" s="50"/>
      <c r="FH495" s="50"/>
      <c r="FI495" s="50"/>
      <c r="FJ495" s="50"/>
      <c r="FK495" s="50"/>
      <c r="FL495" s="50"/>
      <c r="FM495" s="50"/>
      <c r="FN495" s="50"/>
      <c r="FO495" s="50"/>
      <c r="FP495" s="50"/>
      <c r="FQ495" s="50"/>
      <c r="FR495" s="50"/>
      <c r="FS495" s="50"/>
      <c r="FT495" s="50"/>
      <c r="FU495" s="50"/>
      <c r="FV495" s="50"/>
      <c r="FW495" s="50"/>
      <c r="FX495" s="50"/>
      <c r="FY495" s="50"/>
      <c r="FZ495" s="50"/>
      <c r="GA495" s="50"/>
      <c r="GB495" s="50"/>
      <c r="GC495" s="50"/>
      <c r="GD495" s="50"/>
      <c r="GE495" s="50"/>
      <c r="GF495" s="50"/>
    </row>
    <row r="496" spans="1:188">
      <c r="A496" s="147"/>
      <c r="B496" s="147"/>
      <c r="C496" s="51"/>
      <c r="D496" s="52"/>
      <c r="E496" s="47"/>
      <c r="F496" s="47"/>
      <c r="G496" s="47"/>
      <c r="H496" s="47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0"/>
      <c r="BR496" s="50"/>
      <c r="BS496" s="50"/>
      <c r="BT496" s="50"/>
      <c r="BU496" s="50"/>
      <c r="BV496" s="50"/>
      <c r="BW496" s="50"/>
      <c r="BX496" s="50"/>
      <c r="BY496" s="50"/>
      <c r="BZ496" s="50"/>
      <c r="CA496" s="50"/>
      <c r="CB496" s="50"/>
      <c r="CC496" s="50"/>
      <c r="CD496" s="50"/>
      <c r="CE496" s="50"/>
      <c r="CF496" s="50"/>
      <c r="CG496" s="50"/>
      <c r="CH496" s="50"/>
      <c r="CI496" s="50"/>
      <c r="CJ496" s="50"/>
      <c r="CK496" s="50"/>
      <c r="CL496" s="50"/>
      <c r="CM496" s="50"/>
      <c r="CN496" s="50"/>
      <c r="CO496" s="50"/>
      <c r="CP496" s="50"/>
      <c r="CQ496" s="50"/>
      <c r="CR496" s="50"/>
      <c r="CS496" s="50"/>
      <c r="CT496" s="50"/>
      <c r="CU496" s="50"/>
      <c r="CV496" s="50"/>
      <c r="CW496" s="50"/>
      <c r="CX496" s="50"/>
      <c r="CY496" s="50"/>
      <c r="CZ496" s="50"/>
      <c r="DA496" s="50"/>
      <c r="DB496" s="50"/>
      <c r="DC496" s="50"/>
      <c r="DD496" s="50"/>
      <c r="DE496" s="50"/>
      <c r="DF496" s="50"/>
      <c r="DG496" s="50"/>
      <c r="DH496" s="50"/>
      <c r="DI496" s="50"/>
      <c r="DJ496" s="50"/>
      <c r="DK496" s="50"/>
      <c r="DL496" s="50"/>
      <c r="DM496" s="50"/>
      <c r="DN496" s="50"/>
      <c r="DO496" s="50"/>
      <c r="DP496" s="50"/>
      <c r="DQ496" s="50"/>
      <c r="DR496" s="50"/>
      <c r="DS496" s="50"/>
      <c r="DT496" s="50"/>
      <c r="DU496" s="50"/>
      <c r="DV496" s="50"/>
      <c r="DW496" s="50"/>
      <c r="DX496" s="50"/>
      <c r="DY496" s="50"/>
      <c r="DZ496" s="50"/>
      <c r="EA496" s="50"/>
      <c r="EB496" s="50"/>
      <c r="EC496" s="50"/>
      <c r="ED496" s="50"/>
      <c r="EE496" s="50"/>
      <c r="EF496" s="50"/>
      <c r="EG496" s="50"/>
      <c r="EH496" s="50"/>
      <c r="EI496" s="50"/>
      <c r="EJ496" s="50"/>
      <c r="EK496" s="50"/>
      <c r="EL496" s="50"/>
      <c r="EM496" s="50"/>
      <c r="EN496" s="50"/>
      <c r="EO496" s="50"/>
      <c r="EP496" s="50"/>
      <c r="EQ496" s="50"/>
      <c r="ER496" s="50"/>
      <c r="ES496" s="50"/>
      <c r="ET496" s="50"/>
      <c r="EU496" s="50"/>
      <c r="EV496" s="50"/>
      <c r="EW496" s="50"/>
      <c r="EX496" s="50"/>
      <c r="EY496" s="50"/>
      <c r="EZ496" s="50"/>
      <c r="FA496" s="50"/>
      <c r="FB496" s="50"/>
      <c r="FC496" s="50"/>
      <c r="FD496" s="50"/>
      <c r="FE496" s="50"/>
      <c r="FF496" s="50"/>
      <c r="FG496" s="50"/>
      <c r="FH496" s="50"/>
      <c r="FI496" s="50"/>
      <c r="FJ496" s="50"/>
      <c r="FK496" s="50"/>
      <c r="FL496" s="50"/>
      <c r="FM496" s="50"/>
      <c r="FN496" s="50"/>
      <c r="FO496" s="50"/>
      <c r="FP496" s="50"/>
      <c r="FQ496" s="50"/>
      <c r="FR496" s="50"/>
      <c r="FS496" s="50"/>
      <c r="FT496" s="50"/>
      <c r="FU496" s="50"/>
      <c r="FV496" s="50"/>
      <c r="FW496" s="50"/>
      <c r="FX496" s="50"/>
      <c r="FY496" s="50"/>
      <c r="FZ496" s="50"/>
      <c r="GA496" s="50"/>
      <c r="GB496" s="50"/>
      <c r="GC496" s="50"/>
      <c r="GD496" s="50"/>
      <c r="GE496" s="50"/>
      <c r="GF496" s="50"/>
    </row>
    <row r="497" spans="1:188">
      <c r="A497" s="147"/>
      <c r="B497" s="147"/>
      <c r="C497" s="51"/>
      <c r="D497" s="52"/>
      <c r="E497" s="47"/>
      <c r="F497" s="47"/>
      <c r="G497" s="47"/>
      <c r="H497" s="47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0"/>
      <c r="BR497" s="50"/>
      <c r="BS497" s="50"/>
      <c r="BT497" s="50"/>
      <c r="BU497" s="50"/>
      <c r="BV497" s="50"/>
      <c r="BW497" s="50"/>
      <c r="BX497" s="50"/>
      <c r="BY497" s="50"/>
      <c r="BZ497" s="50"/>
      <c r="CA497" s="50"/>
      <c r="CB497" s="50"/>
      <c r="CC497" s="50"/>
      <c r="CD497" s="50"/>
      <c r="CE497" s="50"/>
      <c r="CF497" s="50"/>
      <c r="CG497" s="50"/>
      <c r="CH497" s="50"/>
      <c r="CI497" s="50"/>
      <c r="CJ497" s="50"/>
      <c r="CK497" s="50"/>
      <c r="CL497" s="50"/>
      <c r="CM497" s="50"/>
      <c r="CN497" s="50"/>
      <c r="CO497" s="50"/>
      <c r="CP497" s="50"/>
      <c r="CQ497" s="50"/>
      <c r="CR497" s="50"/>
      <c r="CS497" s="50"/>
      <c r="CT497" s="50"/>
      <c r="CU497" s="50"/>
      <c r="CV497" s="50"/>
      <c r="CW497" s="50"/>
      <c r="CX497" s="50"/>
      <c r="CY497" s="50"/>
      <c r="CZ497" s="50"/>
      <c r="DA497" s="50"/>
      <c r="DB497" s="50"/>
      <c r="DC497" s="50"/>
      <c r="DD497" s="50"/>
      <c r="DE497" s="50"/>
      <c r="DF497" s="50"/>
      <c r="DG497" s="50"/>
      <c r="DH497" s="50"/>
      <c r="DI497" s="50"/>
      <c r="DJ497" s="50"/>
      <c r="DK497" s="50"/>
      <c r="DL497" s="50"/>
      <c r="DM497" s="50"/>
      <c r="DN497" s="50"/>
      <c r="DO497" s="50"/>
      <c r="DP497" s="50"/>
      <c r="DQ497" s="50"/>
      <c r="DR497" s="50"/>
      <c r="DS497" s="50"/>
      <c r="DT497" s="50"/>
      <c r="DU497" s="50"/>
      <c r="DV497" s="50"/>
      <c r="DW497" s="50"/>
      <c r="DX497" s="50"/>
      <c r="DY497" s="50"/>
      <c r="DZ497" s="50"/>
      <c r="EA497" s="50"/>
      <c r="EB497" s="50"/>
      <c r="EC497" s="50"/>
      <c r="ED497" s="50"/>
      <c r="EE497" s="50"/>
      <c r="EF497" s="50"/>
      <c r="EG497" s="50"/>
      <c r="EH497" s="50"/>
      <c r="EI497" s="50"/>
      <c r="EJ497" s="50"/>
      <c r="EK497" s="50"/>
      <c r="EL497" s="50"/>
      <c r="EM497" s="50"/>
      <c r="EN497" s="50"/>
      <c r="EO497" s="50"/>
      <c r="EP497" s="50"/>
      <c r="EQ497" s="50"/>
      <c r="ER497" s="50"/>
      <c r="ES497" s="50"/>
      <c r="ET497" s="50"/>
      <c r="EU497" s="50"/>
      <c r="EV497" s="50"/>
      <c r="EW497" s="50"/>
      <c r="EX497" s="50"/>
      <c r="EY497" s="50"/>
      <c r="EZ497" s="50"/>
      <c r="FA497" s="50"/>
      <c r="FB497" s="50"/>
      <c r="FC497" s="50"/>
      <c r="FD497" s="50"/>
      <c r="FE497" s="50"/>
      <c r="FF497" s="50"/>
      <c r="FG497" s="50"/>
      <c r="FH497" s="50"/>
      <c r="FI497" s="50"/>
      <c r="FJ497" s="50"/>
      <c r="FK497" s="50"/>
      <c r="FL497" s="50"/>
      <c r="FM497" s="50"/>
      <c r="FN497" s="50"/>
      <c r="FO497" s="50"/>
      <c r="FP497" s="50"/>
      <c r="FQ497" s="50"/>
      <c r="FR497" s="50"/>
      <c r="FS497" s="50"/>
      <c r="FT497" s="50"/>
      <c r="FU497" s="50"/>
      <c r="FV497" s="50"/>
      <c r="FW497" s="50"/>
      <c r="FX497" s="50"/>
      <c r="FY497" s="50"/>
      <c r="FZ497" s="50"/>
      <c r="GA497" s="50"/>
      <c r="GB497" s="50"/>
      <c r="GC497" s="50"/>
      <c r="GD497" s="50"/>
      <c r="GE497" s="50"/>
      <c r="GF497" s="50"/>
    </row>
    <row r="498" spans="1:188">
      <c r="A498" s="147"/>
      <c r="B498" s="147"/>
      <c r="C498" s="51"/>
      <c r="D498" s="52"/>
      <c r="E498" s="47"/>
      <c r="F498" s="47"/>
      <c r="G498" s="47"/>
      <c r="H498" s="47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0"/>
      <c r="BR498" s="50"/>
      <c r="BS498" s="50"/>
      <c r="BT498" s="50"/>
      <c r="BU498" s="50"/>
      <c r="BV498" s="50"/>
      <c r="BW498" s="50"/>
      <c r="BX498" s="50"/>
      <c r="BY498" s="50"/>
      <c r="BZ498" s="50"/>
      <c r="CA498" s="50"/>
      <c r="CB498" s="50"/>
      <c r="CC498" s="50"/>
      <c r="CD498" s="50"/>
      <c r="CE498" s="50"/>
      <c r="CF498" s="50"/>
      <c r="CG498" s="50"/>
      <c r="CH498" s="50"/>
      <c r="CI498" s="50"/>
      <c r="CJ498" s="50"/>
      <c r="CK498" s="50"/>
      <c r="CL498" s="50"/>
      <c r="CM498" s="50"/>
      <c r="CN498" s="50"/>
      <c r="CO498" s="50"/>
      <c r="CP498" s="50"/>
      <c r="CQ498" s="50"/>
      <c r="CR498" s="50"/>
      <c r="CS498" s="50"/>
      <c r="CT498" s="50"/>
      <c r="CU498" s="50"/>
      <c r="CV498" s="50"/>
      <c r="CW498" s="50"/>
      <c r="CX498" s="50"/>
      <c r="CY498" s="50"/>
      <c r="CZ498" s="50"/>
      <c r="DA498" s="50"/>
      <c r="DB498" s="50"/>
      <c r="DC498" s="50"/>
      <c r="DD498" s="50"/>
      <c r="DE498" s="50"/>
      <c r="DF498" s="50"/>
      <c r="DG498" s="50"/>
      <c r="DH498" s="50"/>
      <c r="DI498" s="50"/>
      <c r="DJ498" s="50"/>
      <c r="DK498" s="50"/>
      <c r="DL498" s="50"/>
      <c r="DM498" s="50"/>
      <c r="DN498" s="50"/>
      <c r="DO498" s="50"/>
      <c r="DP498" s="50"/>
      <c r="DQ498" s="50"/>
      <c r="DR498" s="50"/>
      <c r="DS498" s="50"/>
      <c r="DT498" s="50"/>
      <c r="DU498" s="50"/>
      <c r="DV498" s="50"/>
      <c r="DW498" s="50"/>
      <c r="DX498" s="50"/>
      <c r="DY498" s="50"/>
      <c r="DZ498" s="50"/>
      <c r="EA498" s="50"/>
      <c r="EB498" s="50"/>
      <c r="EC498" s="50"/>
      <c r="ED498" s="50"/>
      <c r="EE498" s="50"/>
      <c r="EF498" s="50"/>
      <c r="EG498" s="50"/>
      <c r="EH498" s="50"/>
      <c r="EI498" s="50"/>
      <c r="EJ498" s="50"/>
      <c r="EK498" s="50"/>
      <c r="EL498" s="50"/>
      <c r="EM498" s="50"/>
      <c r="EN498" s="50"/>
      <c r="EO498" s="50"/>
      <c r="EP498" s="50"/>
      <c r="EQ498" s="50"/>
      <c r="ER498" s="50"/>
      <c r="ES498" s="50"/>
      <c r="ET498" s="50"/>
      <c r="EU498" s="50"/>
      <c r="EV498" s="50"/>
      <c r="EW498" s="50"/>
      <c r="EX498" s="50"/>
      <c r="EY498" s="50"/>
      <c r="EZ498" s="50"/>
      <c r="FA498" s="50"/>
      <c r="FB498" s="50"/>
      <c r="FC498" s="50"/>
      <c r="FD498" s="50"/>
      <c r="FE498" s="50"/>
      <c r="FF498" s="50"/>
      <c r="FG498" s="50"/>
      <c r="FH498" s="50"/>
      <c r="FI498" s="50"/>
      <c r="FJ498" s="50"/>
      <c r="FK498" s="50"/>
      <c r="FL498" s="50"/>
      <c r="FM498" s="50"/>
      <c r="FN498" s="50"/>
      <c r="FO498" s="50"/>
      <c r="FP498" s="50"/>
      <c r="FQ498" s="50"/>
      <c r="FR498" s="50"/>
      <c r="FS498" s="50"/>
      <c r="FT498" s="50"/>
      <c r="FU498" s="50"/>
      <c r="FV498" s="50"/>
      <c r="FW498" s="50"/>
      <c r="FX498" s="50"/>
      <c r="FY498" s="50"/>
      <c r="FZ498" s="50"/>
      <c r="GA498" s="50"/>
      <c r="GB498" s="50"/>
      <c r="GC498" s="50"/>
      <c r="GD498" s="50"/>
      <c r="GE498" s="50"/>
      <c r="GF498" s="50"/>
    </row>
    <row r="499" spans="1:188">
      <c r="A499" s="147"/>
      <c r="B499" s="147"/>
      <c r="C499" s="51"/>
      <c r="D499" s="52"/>
      <c r="E499" s="47"/>
      <c r="F499" s="47"/>
      <c r="G499" s="47"/>
      <c r="H499" s="47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0"/>
      <c r="BR499" s="50"/>
      <c r="BS499" s="50"/>
      <c r="BT499" s="50"/>
      <c r="BU499" s="50"/>
      <c r="BV499" s="50"/>
      <c r="BW499" s="50"/>
      <c r="BX499" s="50"/>
      <c r="BY499" s="50"/>
      <c r="BZ499" s="50"/>
      <c r="CA499" s="50"/>
      <c r="CB499" s="50"/>
      <c r="CC499" s="50"/>
      <c r="CD499" s="50"/>
      <c r="CE499" s="50"/>
      <c r="CF499" s="50"/>
      <c r="CG499" s="50"/>
      <c r="CH499" s="50"/>
      <c r="CI499" s="50"/>
      <c r="CJ499" s="50"/>
      <c r="CK499" s="50"/>
      <c r="CL499" s="50"/>
      <c r="CM499" s="50"/>
      <c r="CN499" s="50"/>
      <c r="CO499" s="50"/>
      <c r="CP499" s="50"/>
      <c r="CQ499" s="50"/>
      <c r="CR499" s="50"/>
      <c r="CS499" s="50"/>
      <c r="CT499" s="50"/>
      <c r="CU499" s="50"/>
      <c r="CV499" s="50"/>
      <c r="CW499" s="50"/>
      <c r="CX499" s="50"/>
      <c r="CY499" s="50"/>
      <c r="CZ499" s="50"/>
      <c r="DA499" s="50"/>
      <c r="DB499" s="50"/>
      <c r="DC499" s="50"/>
      <c r="DD499" s="50"/>
      <c r="DE499" s="50"/>
      <c r="DF499" s="50"/>
      <c r="DG499" s="50"/>
      <c r="DH499" s="50"/>
      <c r="DI499" s="50"/>
      <c r="DJ499" s="50"/>
      <c r="DK499" s="50"/>
      <c r="DL499" s="50"/>
      <c r="DM499" s="50"/>
      <c r="DN499" s="50"/>
      <c r="DO499" s="50"/>
      <c r="DP499" s="50"/>
      <c r="DQ499" s="50"/>
      <c r="DR499" s="50"/>
      <c r="DS499" s="50"/>
      <c r="DT499" s="50"/>
      <c r="DU499" s="50"/>
      <c r="DV499" s="50"/>
      <c r="DW499" s="50"/>
      <c r="DX499" s="50"/>
      <c r="DY499" s="50"/>
      <c r="DZ499" s="50"/>
      <c r="EA499" s="50"/>
      <c r="EB499" s="50"/>
      <c r="EC499" s="50"/>
      <c r="ED499" s="50"/>
      <c r="EE499" s="50"/>
      <c r="EF499" s="50"/>
      <c r="EG499" s="50"/>
      <c r="EH499" s="50"/>
      <c r="EI499" s="50"/>
      <c r="EJ499" s="50"/>
      <c r="EK499" s="50"/>
      <c r="EL499" s="50"/>
      <c r="EM499" s="50"/>
      <c r="EN499" s="50"/>
      <c r="EO499" s="50"/>
      <c r="EP499" s="50"/>
      <c r="EQ499" s="50"/>
      <c r="ER499" s="50"/>
      <c r="ES499" s="50"/>
      <c r="ET499" s="50"/>
      <c r="EU499" s="50"/>
      <c r="EV499" s="50"/>
      <c r="EW499" s="50"/>
      <c r="EX499" s="50"/>
      <c r="EY499" s="50"/>
      <c r="EZ499" s="50"/>
      <c r="FA499" s="50"/>
      <c r="FB499" s="50"/>
      <c r="FC499" s="50"/>
      <c r="FD499" s="50"/>
      <c r="FE499" s="50"/>
      <c r="FF499" s="50"/>
      <c r="FG499" s="50"/>
      <c r="FH499" s="50"/>
      <c r="FI499" s="50"/>
      <c r="FJ499" s="50"/>
      <c r="FK499" s="50"/>
      <c r="FL499" s="50"/>
      <c r="FM499" s="50"/>
      <c r="FN499" s="50"/>
      <c r="FO499" s="50"/>
      <c r="FP499" s="50"/>
      <c r="FQ499" s="50"/>
      <c r="FR499" s="50"/>
      <c r="FS499" s="50"/>
      <c r="FT499" s="50"/>
      <c r="FU499" s="50"/>
      <c r="FV499" s="50"/>
      <c r="FW499" s="50"/>
      <c r="FX499" s="50"/>
      <c r="FY499" s="50"/>
      <c r="FZ499" s="50"/>
      <c r="GA499" s="50"/>
      <c r="GB499" s="50"/>
      <c r="GC499" s="50"/>
      <c r="GD499" s="50"/>
      <c r="GE499" s="50"/>
      <c r="GF499" s="50"/>
    </row>
    <row r="500" spans="1:188">
      <c r="A500" s="147"/>
      <c r="B500" s="147"/>
      <c r="C500" s="51"/>
      <c r="D500" s="52"/>
      <c r="E500" s="47"/>
      <c r="F500" s="47"/>
      <c r="G500" s="47"/>
      <c r="H500" s="47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0"/>
      <c r="BR500" s="50"/>
      <c r="BS500" s="50"/>
      <c r="BT500" s="50"/>
      <c r="BU500" s="50"/>
      <c r="BV500" s="50"/>
      <c r="BW500" s="50"/>
      <c r="BX500" s="50"/>
      <c r="BY500" s="50"/>
      <c r="BZ500" s="50"/>
      <c r="CA500" s="50"/>
      <c r="CB500" s="50"/>
      <c r="CC500" s="50"/>
      <c r="CD500" s="50"/>
      <c r="CE500" s="50"/>
      <c r="CF500" s="50"/>
      <c r="CG500" s="50"/>
      <c r="CH500" s="50"/>
      <c r="CI500" s="50"/>
      <c r="CJ500" s="50"/>
      <c r="CK500" s="50"/>
      <c r="CL500" s="50"/>
      <c r="CM500" s="50"/>
      <c r="CN500" s="50"/>
      <c r="CO500" s="50"/>
      <c r="CP500" s="50"/>
      <c r="CQ500" s="50"/>
      <c r="CR500" s="50"/>
      <c r="CS500" s="50"/>
      <c r="CT500" s="50"/>
      <c r="CU500" s="50"/>
      <c r="CV500" s="50"/>
      <c r="CW500" s="50"/>
      <c r="CX500" s="50"/>
      <c r="CY500" s="50"/>
      <c r="CZ500" s="50"/>
      <c r="DA500" s="50"/>
      <c r="DB500" s="50"/>
      <c r="DC500" s="50"/>
      <c r="DD500" s="50"/>
      <c r="DE500" s="50"/>
      <c r="DF500" s="50"/>
      <c r="DG500" s="50"/>
      <c r="DH500" s="50"/>
      <c r="DI500" s="50"/>
      <c r="DJ500" s="50"/>
      <c r="DK500" s="50"/>
      <c r="DL500" s="50"/>
      <c r="DM500" s="50"/>
      <c r="DN500" s="50"/>
      <c r="DO500" s="50"/>
      <c r="DP500" s="50"/>
      <c r="DQ500" s="50"/>
      <c r="DR500" s="50"/>
      <c r="DS500" s="50"/>
      <c r="DT500" s="50"/>
      <c r="DU500" s="50"/>
      <c r="DV500" s="50"/>
      <c r="DW500" s="50"/>
      <c r="DX500" s="50"/>
      <c r="DY500" s="50"/>
      <c r="DZ500" s="50"/>
      <c r="EA500" s="50"/>
      <c r="EB500" s="50"/>
      <c r="EC500" s="50"/>
      <c r="ED500" s="50"/>
      <c r="EE500" s="50"/>
      <c r="EF500" s="50"/>
      <c r="EG500" s="50"/>
      <c r="EH500" s="50"/>
      <c r="EI500" s="50"/>
      <c r="EJ500" s="50"/>
      <c r="EK500" s="50"/>
      <c r="EL500" s="50"/>
      <c r="EM500" s="50"/>
      <c r="EN500" s="50"/>
      <c r="EO500" s="50"/>
      <c r="EP500" s="50"/>
      <c r="EQ500" s="50"/>
      <c r="ER500" s="50"/>
      <c r="ES500" s="50"/>
      <c r="ET500" s="50"/>
      <c r="EU500" s="50"/>
      <c r="EV500" s="50"/>
      <c r="EW500" s="50"/>
      <c r="EX500" s="50"/>
      <c r="EY500" s="50"/>
      <c r="EZ500" s="50"/>
      <c r="FA500" s="50"/>
      <c r="FB500" s="50"/>
      <c r="FC500" s="50"/>
      <c r="FD500" s="50"/>
      <c r="FE500" s="50"/>
      <c r="FF500" s="50"/>
      <c r="FG500" s="50"/>
      <c r="FH500" s="50"/>
      <c r="FI500" s="50"/>
      <c r="FJ500" s="50"/>
      <c r="FK500" s="50"/>
      <c r="FL500" s="50"/>
      <c r="FM500" s="50"/>
      <c r="FN500" s="50"/>
      <c r="FO500" s="50"/>
      <c r="FP500" s="50"/>
      <c r="FQ500" s="50"/>
      <c r="FR500" s="50"/>
      <c r="FS500" s="50"/>
      <c r="FT500" s="50"/>
      <c r="FU500" s="50"/>
      <c r="FV500" s="50"/>
      <c r="FW500" s="50"/>
      <c r="FX500" s="50"/>
      <c r="FY500" s="50"/>
      <c r="FZ500" s="50"/>
      <c r="GA500" s="50"/>
      <c r="GB500" s="50"/>
      <c r="GC500" s="50"/>
      <c r="GD500" s="50"/>
      <c r="GE500" s="50"/>
      <c r="GF500" s="50"/>
    </row>
    <row r="501" spans="1:188">
      <c r="A501" s="147"/>
      <c r="B501" s="147"/>
      <c r="C501" s="51"/>
      <c r="D501" s="52"/>
      <c r="E501" s="47"/>
      <c r="F501" s="47"/>
      <c r="G501" s="47"/>
      <c r="H501" s="47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0"/>
      <c r="BR501" s="50"/>
      <c r="BS501" s="50"/>
      <c r="BT501" s="50"/>
      <c r="BU501" s="50"/>
      <c r="BV501" s="50"/>
      <c r="BW501" s="50"/>
      <c r="BX501" s="50"/>
      <c r="BY501" s="50"/>
      <c r="BZ501" s="50"/>
      <c r="CA501" s="50"/>
      <c r="CB501" s="50"/>
      <c r="CC501" s="50"/>
      <c r="CD501" s="50"/>
      <c r="CE501" s="50"/>
      <c r="CF501" s="50"/>
      <c r="CG501" s="50"/>
      <c r="CH501" s="50"/>
      <c r="CI501" s="50"/>
      <c r="CJ501" s="50"/>
      <c r="CK501" s="50"/>
      <c r="CL501" s="50"/>
      <c r="CM501" s="50"/>
      <c r="CN501" s="50"/>
      <c r="CO501" s="50"/>
      <c r="CP501" s="50"/>
      <c r="CQ501" s="50"/>
      <c r="CR501" s="50"/>
      <c r="CS501" s="50"/>
      <c r="CT501" s="50"/>
      <c r="CU501" s="50"/>
      <c r="CV501" s="50"/>
      <c r="CW501" s="50"/>
      <c r="CX501" s="50"/>
      <c r="CY501" s="50"/>
      <c r="CZ501" s="50"/>
      <c r="DA501" s="50"/>
      <c r="DB501" s="50"/>
      <c r="DC501" s="50"/>
      <c r="DD501" s="50"/>
      <c r="DE501" s="50"/>
      <c r="DF501" s="50"/>
      <c r="DG501" s="50"/>
      <c r="DH501" s="50"/>
      <c r="DI501" s="50"/>
      <c r="DJ501" s="50"/>
      <c r="DK501" s="50"/>
      <c r="DL501" s="50"/>
      <c r="DM501" s="50"/>
      <c r="DN501" s="50"/>
      <c r="DO501" s="50"/>
      <c r="DP501" s="50"/>
      <c r="DQ501" s="50"/>
      <c r="DR501" s="50"/>
      <c r="DS501" s="50"/>
      <c r="DT501" s="50"/>
      <c r="DU501" s="50"/>
      <c r="DV501" s="50"/>
      <c r="DW501" s="50"/>
      <c r="DX501" s="50"/>
      <c r="DY501" s="50"/>
      <c r="DZ501" s="50"/>
      <c r="EA501" s="50"/>
      <c r="EB501" s="50"/>
      <c r="EC501" s="50"/>
      <c r="ED501" s="50"/>
      <c r="EE501" s="50"/>
      <c r="EF501" s="50"/>
      <c r="EG501" s="50"/>
      <c r="EH501" s="50"/>
      <c r="EI501" s="50"/>
      <c r="EJ501" s="50"/>
      <c r="EK501" s="50"/>
      <c r="EL501" s="50"/>
      <c r="EM501" s="50"/>
      <c r="EN501" s="50"/>
      <c r="EO501" s="50"/>
      <c r="EP501" s="50"/>
      <c r="EQ501" s="50"/>
      <c r="ER501" s="50"/>
      <c r="ES501" s="50"/>
      <c r="ET501" s="50"/>
      <c r="EU501" s="50"/>
      <c r="EV501" s="50"/>
      <c r="EW501" s="50"/>
      <c r="EX501" s="50"/>
      <c r="EY501" s="50"/>
      <c r="EZ501" s="50"/>
      <c r="FA501" s="50"/>
      <c r="FB501" s="50"/>
      <c r="FC501" s="50"/>
      <c r="FD501" s="50"/>
      <c r="FE501" s="50"/>
      <c r="FF501" s="50"/>
      <c r="FG501" s="50"/>
      <c r="FH501" s="50"/>
      <c r="FI501" s="50"/>
      <c r="FJ501" s="50"/>
      <c r="FK501" s="50"/>
      <c r="FL501" s="50"/>
      <c r="FM501" s="50"/>
      <c r="FN501" s="50"/>
      <c r="FO501" s="50"/>
      <c r="FP501" s="50"/>
      <c r="FQ501" s="50"/>
      <c r="FR501" s="50"/>
      <c r="FS501" s="50"/>
      <c r="FT501" s="50"/>
      <c r="FU501" s="50"/>
      <c r="FV501" s="50"/>
      <c r="FW501" s="50"/>
      <c r="FX501" s="50"/>
      <c r="FY501" s="50"/>
      <c r="FZ501" s="50"/>
      <c r="GA501" s="50"/>
      <c r="GB501" s="50"/>
      <c r="GC501" s="50"/>
      <c r="GD501" s="50"/>
      <c r="GE501" s="50"/>
      <c r="GF501" s="50"/>
    </row>
    <row r="502" spans="1:188">
      <c r="A502" s="147"/>
      <c r="B502" s="147"/>
      <c r="C502" s="51"/>
      <c r="D502" s="52"/>
      <c r="E502" s="47"/>
      <c r="F502" s="47"/>
      <c r="G502" s="47"/>
      <c r="H502" s="47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0"/>
      <c r="BR502" s="50"/>
      <c r="BS502" s="50"/>
      <c r="BT502" s="50"/>
      <c r="BU502" s="50"/>
      <c r="BV502" s="50"/>
      <c r="BW502" s="50"/>
      <c r="BX502" s="50"/>
      <c r="BY502" s="50"/>
      <c r="BZ502" s="50"/>
      <c r="CA502" s="50"/>
      <c r="CB502" s="50"/>
      <c r="CC502" s="50"/>
      <c r="CD502" s="50"/>
      <c r="CE502" s="50"/>
      <c r="CF502" s="50"/>
      <c r="CG502" s="50"/>
      <c r="CH502" s="50"/>
      <c r="CI502" s="50"/>
      <c r="CJ502" s="50"/>
      <c r="CK502" s="50"/>
      <c r="CL502" s="50"/>
      <c r="CM502" s="50"/>
      <c r="CN502" s="50"/>
      <c r="CO502" s="50"/>
      <c r="CP502" s="50"/>
      <c r="CQ502" s="50"/>
      <c r="CR502" s="50"/>
      <c r="CS502" s="50"/>
      <c r="CT502" s="50"/>
      <c r="CU502" s="50"/>
      <c r="CV502" s="50"/>
      <c r="CW502" s="50"/>
      <c r="CX502" s="50"/>
      <c r="CY502" s="50"/>
      <c r="CZ502" s="50"/>
      <c r="DA502" s="50"/>
      <c r="DB502" s="50"/>
      <c r="DC502" s="50"/>
      <c r="DD502" s="50"/>
      <c r="DE502" s="50"/>
      <c r="DF502" s="50"/>
      <c r="DG502" s="50"/>
      <c r="DH502" s="50"/>
      <c r="DI502" s="50"/>
      <c r="DJ502" s="50"/>
      <c r="DK502" s="50"/>
      <c r="DL502" s="50"/>
      <c r="DM502" s="50"/>
      <c r="DN502" s="50"/>
      <c r="DO502" s="50"/>
      <c r="DP502" s="50"/>
      <c r="DQ502" s="50"/>
      <c r="DR502" s="50"/>
      <c r="DS502" s="50"/>
      <c r="DT502" s="50"/>
      <c r="DU502" s="50"/>
      <c r="DV502" s="50"/>
      <c r="DW502" s="50"/>
      <c r="DX502" s="50"/>
      <c r="DY502" s="50"/>
      <c r="DZ502" s="50"/>
      <c r="EA502" s="50"/>
      <c r="EB502" s="50"/>
      <c r="EC502" s="50"/>
      <c r="ED502" s="50"/>
      <c r="EE502" s="50"/>
      <c r="EF502" s="50"/>
      <c r="EG502" s="50"/>
      <c r="EH502" s="50"/>
      <c r="EI502" s="50"/>
      <c r="EJ502" s="50"/>
      <c r="EK502" s="50"/>
      <c r="EL502" s="50"/>
      <c r="EM502" s="50"/>
      <c r="EN502" s="50"/>
      <c r="EO502" s="50"/>
      <c r="EP502" s="50"/>
      <c r="EQ502" s="50"/>
      <c r="ER502" s="50"/>
      <c r="ES502" s="50"/>
      <c r="ET502" s="50"/>
      <c r="EU502" s="50"/>
      <c r="EV502" s="50"/>
      <c r="EW502" s="50"/>
      <c r="EX502" s="50"/>
      <c r="EY502" s="50"/>
      <c r="EZ502" s="50"/>
      <c r="FA502" s="50"/>
      <c r="FB502" s="50"/>
      <c r="FC502" s="50"/>
      <c r="FD502" s="50"/>
      <c r="FE502" s="50"/>
      <c r="FF502" s="50"/>
      <c r="FG502" s="50"/>
      <c r="FH502" s="50"/>
      <c r="FI502" s="50"/>
      <c r="FJ502" s="50"/>
      <c r="FK502" s="50"/>
      <c r="FL502" s="50"/>
      <c r="FM502" s="50"/>
      <c r="FN502" s="50"/>
      <c r="FO502" s="50"/>
      <c r="FP502" s="50"/>
      <c r="FQ502" s="50"/>
      <c r="FR502" s="50"/>
      <c r="FS502" s="50"/>
      <c r="FT502" s="50"/>
      <c r="FU502" s="50"/>
      <c r="FV502" s="50"/>
      <c r="FW502" s="50"/>
      <c r="FX502" s="50"/>
      <c r="FY502" s="50"/>
      <c r="FZ502" s="50"/>
      <c r="GA502" s="50"/>
      <c r="GB502" s="50"/>
      <c r="GC502" s="50"/>
      <c r="GD502" s="50"/>
      <c r="GE502" s="50"/>
      <c r="GF502" s="50"/>
    </row>
    <row r="503" spans="1:188">
      <c r="A503" s="147"/>
      <c r="B503" s="147"/>
      <c r="C503" s="51"/>
      <c r="D503" s="52"/>
      <c r="E503" s="47"/>
      <c r="F503" s="47"/>
      <c r="G503" s="47"/>
      <c r="H503" s="47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/>
      <c r="CZ503" s="50"/>
      <c r="DA503" s="50"/>
      <c r="DB503" s="50"/>
      <c r="DC503" s="50"/>
      <c r="DD503" s="50"/>
      <c r="DE503" s="50"/>
      <c r="DF503" s="50"/>
      <c r="DG503" s="50"/>
      <c r="DH503" s="50"/>
      <c r="DI503" s="50"/>
      <c r="DJ503" s="50"/>
      <c r="DK503" s="50"/>
      <c r="DL503" s="50"/>
      <c r="DM503" s="50"/>
      <c r="DN503" s="50"/>
      <c r="DO503" s="50"/>
      <c r="DP503" s="50"/>
      <c r="DQ503" s="50"/>
      <c r="DR503" s="50"/>
      <c r="DS503" s="50"/>
      <c r="DT503" s="50"/>
      <c r="DU503" s="50"/>
      <c r="DV503" s="50"/>
      <c r="DW503" s="50"/>
      <c r="DX503" s="50"/>
      <c r="DY503" s="50"/>
      <c r="DZ503" s="50"/>
      <c r="EA503" s="50"/>
      <c r="EB503" s="50"/>
      <c r="EC503" s="50"/>
      <c r="ED503" s="50"/>
      <c r="EE503" s="50"/>
      <c r="EF503" s="50"/>
      <c r="EG503" s="50"/>
      <c r="EH503" s="50"/>
      <c r="EI503" s="50"/>
      <c r="EJ503" s="50"/>
      <c r="EK503" s="50"/>
      <c r="EL503" s="50"/>
      <c r="EM503" s="50"/>
      <c r="EN503" s="50"/>
      <c r="EO503" s="50"/>
      <c r="EP503" s="50"/>
      <c r="EQ503" s="50"/>
      <c r="ER503" s="50"/>
      <c r="ES503" s="50"/>
      <c r="ET503" s="50"/>
      <c r="EU503" s="50"/>
      <c r="EV503" s="50"/>
      <c r="EW503" s="50"/>
      <c r="EX503" s="50"/>
      <c r="EY503" s="50"/>
      <c r="EZ503" s="50"/>
      <c r="FA503" s="50"/>
      <c r="FB503" s="50"/>
      <c r="FC503" s="50"/>
      <c r="FD503" s="50"/>
      <c r="FE503" s="50"/>
      <c r="FF503" s="50"/>
      <c r="FG503" s="50"/>
      <c r="FH503" s="50"/>
      <c r="FI503" s="50"/>
      <c r="FJ503" s="50"/>
      <c r="FK503" s="50"/>
      <c r="FL503" s="50"/>
      <c r="FM503" s="50"/>
      <c r="FN503" s="50"/>
      <c r="FO503" s="50"/>
      <c r="FP503" s="50"/>
      <c r="FQ503" s="50"/>
      <c r="FR503" s="50"/>
      <c r="FS503" s="50"/>
      <c r="FT503" s="50"/>
      <c r="FU503" s="50"/>
      <c r="FV503" s="50"/>
      <c r="FW503" s="50"/>
      <c r="FX503" s="50"/>
      <c r="FY503" s="50"/>
      <c r="FZ503" s="50"/>
      <c r="GA503" s="50"/>
      <c r="GB503" s="50"/>
      <c r="GC503" s="50"/>
      <c r="GD503" s="50"/>
      <c r="GE503" s="50"/>
      <c r="GF503" s="50"/>
    </row>
    <row r="504" spans="1:188">
      <c r="A504" s="147"/>
      <c r="B504" s="147"/>
      <c r="C504" s="51"/>
      <c r="D504" s="52"/>
      <c r="E504" s="47"/>
      <c r="F504" s="47"/>
      <c r="G504" s="47"/>
      <c r="H504" s="47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0"/>
      <c r="BR504" s="50"/>
      <c r="BS504" s="50"/>
      <c r="BT504" s="50"/>
      <c r="BU504" s="50"/>
      <c r="BV504" s="50"/>
      <c r="BW504" s="50"/>
      <c r="BX504" s="50"/>
      <c r="BY504" s="50"/>
      <c r="BZ504" s="50"/>
      <c r="CA504" s="50"/>
      <c r="CB504" s="50"/>
      <c r="CC504" s="50"/>
      <c r="CD504" s="50"/>
      <c r="CE504" s="50"/>
      <c r="CF504" s="50"/>
      <c r="CG504" s="50"/>
      <c r="CH504" s="50"/>
      <c r="CI504" s="50"/>
      <c r="CJ504" s="50"/>
      <c r="CK504" s="50"/>
      <c r="CL504" s="50"/>
      <c r="CM504" s="50"/>
      <c r="CN504" s="50"/>
      <c r="CO504" s="50"/>
      <c r="CP504" s="50"/>
      <c r="CQ504" s="50"/>
      <c r="CR504" s="50"/>
      <c r="CS504" s="50"/>
      <c r="CT504" s="50"/>
      <c r="CU504" s="50"/>
      <c r="CV504" s="50"/>
      <c r="CW504" s="50"/>
      <c r="CX504" s="50"/>
      <c r="CY504" s="50"/>
      <c r="CZ504" s="50"/>
      <c r="DA504" s="50"/>
      <c r="DB504" s="50"/>
      <c r="DC504" s="50"/>
      <c r="DD504" s="50"/>
      <c r="DE504" s="50"/>
      <c r="DF504" s="50"/>
      <c r="DG504" s="50"/>
      <c r="DH504" s="50"/>
      <c r="DI504" s="50"/>
      <c r="DJ504" s="50"/>
      <c r="DK504" s="50"/>
      <c r="DL504" s="50"/>
      <c r="DM504" s="50"/>
      <c r="DN504" s="50"/>
      <c r="DO504" s="50"/>
      <c r="DP504" s="50"/>
      <c r="DQ504" s="50"/>
      <c r="DR504" s="50"/>
      <c r="DS504" s="50"/>
      <c r="DT504" s="50"/>
      <c r="DU504" s="50"/>
      <c r="DV504" s="50"/>
      <c r="DW504" s="50"/>
      <c r="DX504" s="50"/>
      <c r="DY504" s="50"/>
      <c r="DZ504" s="50"/>
      <c r="EA504" s="50"/>
      <c r="EB504" s="50"/>
      <c r="EC504" s="50"/>
      <c r="ED504" s="50"/>
      <c r="EE504" s="50"/>
      <c r="EF504" s="50"/>
      <c r="EG504" s="50"/>
      <c r="EH504" s="50"/>
      <c r="EI504" s="50"/>
      <c r="EJ504" s="50"/>
      <c r="EK504" s="50"/>
      <c r="EL504" s="50"/>
      <c r="EM504" s="50"/>
      <c r="EN504" s="50"/>
      <c r="EO504" s="50"/>
      <c r="EP504" s="50"/>
      <c r="EQ504" s="50"/>
      <c r="ER504" s="50"/>
      <c r="ES504" s="50"/>
      <c r="ET504" s="50"/>
      <c r="EU504" s="50"/>
      <c r="EV504" s="50"/>
      <c r="EW504" s="50"/>
      <c r="EX504" s="50"/>
      <c r="EY504" s="50"/>
      <c r="EZ504" s="50"/>
      <c r="FA504" s="50"/>
      <c r="FB504" s="50"/>
      <c r="FC504" s="50"/>
      <c r="FD504" s="50"/>
      <c r="FE504" s="50"/>
      <c r="FF504" s="50"/>
      <c r="FG504" s="50"/>
      <c r="FH504" s="50"/>
      <c r="FI504" s="50"/>
      <c r="FJ504" s="50"/>
      <c r="FK504" s="50"/>
      <c r="FL504" s="50"/>
      <c r="FM504" s="50"/>
      <c r="FN504" s="50"/>
      <c r="FO504" s="50"/>
      <c r="FP504" s="50"/>
      <c r="FQ504" s="50"/>
      <c r="FR504" s="50"/>
      <c r="FS504" s="50"/>
      <c r="FT504" s="50"/>
      <c r="FU504" s="50"/>
      <c r="FV504" s="50"/>
      <c r="FW504" s="50"/>
      <c r="FX504" s="50"/>
      <c r="FY504" s="50"/>
      <c r="FZ504" s="50"/>
      <c r="GA504" s="50"/>
      <c r="GB504" s="50"/>
      <c r="GC504" s="50"/>
      <c r="GD504" s="50"/>
      <c r="GE504" s="50"/>
      <c r="GF504" s="50"/>
    </row>
    <row r="505" spans="1:188">
      <c r="A505" s="147"/>
      <c r="B505" s="147"/>
      <c r="C505" s="51"/>
      <c r="D505" s="52"/>
      <c r="E505" s="47"/>
      <c r="F505" s="47"/>
      <c r="G505" s="47"/>
      <c r="H505" s="47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  <c r="CE505" s="50"/>
      <c r="CF505" s="50"/>
      <c r="CG505" s="50"/>
      <c r="CH505" s="50"/>
      <c r="CI505" s="50"/>
      <c r="CJ505" s="50"/>
      <c r="CK505" s="50"/>
      <c r="CL505" s="50"/>
      <c r="CM505" s="50"/>
      <c r="CN505" s="50"/>
      <c r="CO505" s="50"/>
      <c r="CP505" s="50"/>
      <c r="CQ505" s="50"/>
      <c r="CR505" s="50"/>
      <c r="CS505" s="50"/>
      <c r="CT505" s="50"/>
      <c r="CU505" s="50"/>
      <c r="CV505" s="50"/>
      <c r="CW505" s="50"/>
      <c r="CX505" s="50"/>
      <c r="CY505" s="50"/>
      <c r="CZ505" s="50"/>
      <c r="DA505" s="50"/>
      <c r="DB505" s="50"/>
      <c r="DC505" s="50"/>
      <c r="DD505" s="50"/>
      <c r="DE505" s="50"/>
      <c r="DF505" s="50"/>
      <c r="DG505" s="50"/>
      <c r="DH505" s="50"/>
      <c r="DI505" s="50"/>
      <c r="DJ505" s="50"/>
      <c r="DK505" s="50"/>
      <c r="DL505" s="50"/>
      <c r="DM505" s="50"/>
      <c r="DN505" s="50"/>
      <c r="DO505" s="50"/>
      <c r="DP505" s="50"/>
      <c r="DQ505" s="50"/>
      <c r="DR505" s="50"/>
      <c r="DS505" s="50"/>
      <c r="DT505" s="50"/>
      <c r="DU505" s="50"/>
      <c r="DV505" s="50"/>
      <c r="DW505" s="50"/>
      <c r="DX505" s="50"/>
      <c r="DY505" s="50"/>
      <c r="DZ505" s="50"/>
      <c r="EA505" s="50"/>
      <c r="EB505" s="50"/>
      <c r="EC505" s="50"/>
      <c r="ED505" s="50"/>
      <c r="EE505" s="50"/>
      <c r="EF505" s="50"/>
      <c r="EG505" s="50"/>
      <c r="EH505" s="50"/>
      <c r="EI505" s="50"/>
      <c r="EJ505" s="50"/>
      <c r="EK505" s="50"/>
      <c r="EL505" s="50"/>
      <c r="EM505" s="50"/>
      <c r="EN505" s="50"/>
      <c r="EO505" s="50"/>
      <c r="EP505" s="50"/>
      <c r="EQ505" s="50"/>
      <c r="ER505" s="50"/>
      <c r="ES505" s="50"/>
      <c r="ET505" s="50"/>
      <c r="EU505" s="50"/>
      <c r="EV505" s="50"/>
      <c r="EW505" s="50"/>
      <c r="EX505" s="50"/>
      <c r="EY505" s="50"/>
      <c r="EZ505" s="50"/>
      <c r="FA505" s="50"/>
      <c r="FB505" s="50"/>
      <c r="FC505" s="50"/>
      <c r="FD505" s="50"/>
      <c r="FE505" s="50"/>
      <c r="FF505" s="50"/>
      <c r="FG505" s="50"/>
      <c r="FH505" s="50"/>
      <c r="FI505" s="50"/>
      <c r="FJ505" s="50"/>
      <c r="FK505" s="50"/>
      <c r="FL505" s="50"/>
      <c r="FM505" s="50"/>
      <c r="FN505" s="50"/>
      <c r="FO505" s="50"/>
      <c r="FP505" s="50"/>
      <c r="FQ505" s="50"/>
      <c r="FR505" s="50"/>
      <c r="FS505" s="50"/>
      <c r="FT505" s="50"/>
      <c r="FU505" s="50"/>
      <c r="FV505" s="50"/>
      <c r="FW505" s="50"/>
      <c r="FX505" s="50"/>
      <c r="FY505" s="50"/>
      <c r="FZ505" s="50"/>
      <c r="GA505" s="50"/>
      <c r="GB505" s="50"/>
      <c r="GC505" s="50"/>
      <c r="GD505" s="50"/>
      <c r="GE505" s="50"/>
      <c r="GF505" s="50"/>
    </row>
    <row r="506" spans="1:188">
      <c r="A506" s="147"/>
      <c r="B506" s="147"/>
      <c r="C506" s="51"/>
      <c r="D506" s="52"/>
      <c r="E506" s="47"/>
      <c r="F506" s="47"/>
      <c r="G506" s="47"/>
      <c r="H506" s="47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0"/>
      <c r="BR506" s="50"/>
      <c r="BS506" s="50"/>
      <c r="BT506" s="50"/>
      <c r="BU506" s="50"/>
      <c r="BV506" s="50"/>
      <c r="BW506" s="50"/>
      <c r="BX506" s="50"/>
      <c r="BY506" s="50"/>
      <c r="BZ506" s="50"/>
      <c r="CA506" s="50"/>
      <c r="CB506" s="50"/>
      <c r="CC506" s="50"/>
      <c r="CD506" s="50"/>
      <c r="CE506" s="50"/>
      <c r="CF506" s="50"/>
      <c r="CG506" s="50"/>
      <c r="CH506" s="50"/>
      <c r="CI506" s="50"/>
      <c r="CJ506" s="50"/>
      <c r="CK506" s="50"/>
      <c r="CL506" s="50"/>
      <c r="CM506" s="50"/>
      <c r="CN506" s="50"/>
      <c r="CO506" s="50"/>
      <c r="CP506" s="50"/>
      <c r="CQ506" s="50"/>
      <c r="CR506" s="50"/>
      <c r="CS506" s="50"/>
      <c r="CT506" s="50"/>
      <c r="CU506" s="50"/>
      <c r="CV506" s="50"/>
      <c r="CW506" s="50"/>
      <c r="CX506" s="50"/>
      <c r="CY506" s="50"/>
      <c r="CZ506" s="50"/>
      <c r="DA506" s="50"/>
      <c r="DB506" s="50"/>
      <c r="DC506" s="50"/>
      <c r="DD506" s="50"/>
      <c r="DE506" s="50"/>
      <c r="DF506" s="50"/>
      <c r="DG506" s="50"/>
      <c r="DH506" s="50"/>
      <c r="DI506" s="50"/>
      <c r="DJ506" s="50"/>
      <c r="DK506" s="50"/>
      <c r="DL506" s="50"/>
      <c r="DM506" s="50"/>
      <c r="DN506" s="50"/>
      <c r="DO506" s="50"/>
      <c r="DP506" s="50"/>
      <c r="DQ506" s="50"/>
      <c r="DR506" s="50"/>
      <c r="DS506" s="50"/>
      <c r="DT506" s="50"/>
      <c r="DU506" s="50"/>
      <c r="DV506" s="50"/>
      <c r="DW506" s="50"/>
      <c r="DX506" s="50"/>
      <c r="DY506" s="50"/>
      <c r="DZ506" s="50"/>
      <c r="EA506" s="50"/>
      <c r="EB506" s="50"/>
      <c r="EC506" s="50"/>
      <c r="ED506" s="50"/>
      <c r="EE506" s="50"/>
      <c r="EF506" s="50"/>
      <c r="EG506" s="50"/>
      <c r="EH506" s="50"/>
      <c r="EI506" s="50"/>
      <c r="EJ506" s="50"/>
      <c r="EK506" s="50"/>
      <c r="EL506" s="50"/>
      <c r="EM506" s="50"/>
      <c r="EN506" s="50"/>
      <c r="EO506" s="50"/>
      <c r="EP506" s="50"/>
      <c r="EQ506" s="50"/>
      <c r="ER506" s="50"/>
      <c r="ES506" s="50"/>
      <c r="ET506" s="50"/>
      <c r="EU506" s="50"/>
      <c r="EV506" s="50"/>
      <c r="EW506" s="50"/>
      <c r="EX506" s="50"/>
      <c r="EY506" s="50"/>
      <c r="EZ506" s="50"/>
      <c r="FA506" s="50"/>
      <c r="FB506" s="50"/>
      <c r="FC506" s="50"/>
      <c r="FD506" s="50"/>
      <c r="FE506" s="50"/>
      <c r="FF506" s="50"/>
      <c r="FG506" s="50"/>
      <c r="FH506" s="50"/>
      <c r="FI506" s="50"/>
      <c r="FJ506" s="50"/>
      <c r="FK506" s="50"/>
      <c r="FL506" s="50"/>
      <c r="FM506" s="50"/>
      <c r="FN506" s="50"/>
      <c r="FO506" s="50"/>
      <c r="FP506" s="50"/>
      <c r="FQ506" s="50"/>
      <c r="FR506" s="50"/>
      <c r="FS506" s="50"/>
      <c r="FT506" s="50"/>
      <c r="FU506" s="50"/>
      <c r="FV506" s="50"/>
      <c r="FW506" s="50"/>
      <c r="FX506" s="50"/>
      <c r="FY506" s="50"/>
      <c r="FZ506" s="50"/>
      <c r="GA506" s="50"/>
      <c r="GB506" s="50"/>
      <c r="GC506" s="50"/>
      <c r="GD506" s="50"/>
      <c r="GE506" s="50"/>
      <c r="GF506" s="50"/>
    </row>
    <row r="507" spans="1:188">
      <c r="A507" s="147"/>
      <c r="B507" s="147"/>
      <c r="C507" s="51"/>
      <c r="D507" s="52"/>
      <c r="E507" s="47"/>
      <c r="F507" s="47"/>
      <c r="G507" s="47"/>
      <c r="H507" s="47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0"/>
      <c r="BR507" s="50"/>
      <c r="BS507" s="50"/>
      <c r="BT507" s="50"/>
      <c r="BU507" s="50"/>
      <c r="BV507" s="50"/>
      <c r="BW507" s="50"/>
      <c r="BX507" s="50"/>
      <c r="BY507" s="50"/>
      <c r="BZ507" s="50"/>
      <c r="CA507" s="50"/>
      <c r="CB507" s="50"/>
      <c r="CC507" s="50"/>
      <c r="CD507" s="50"/>
      <c r="CE507" s="50"/>
      <c r="CF507" s="50"/>
      <c r="CG507" s="50"/>
      <c r="CH507" s="50"/>
      <c r="CI507" s="50"/>
      <c r="CJ507" s="50"/>
      <c r="CK507" s="50"/>
      <c r="CL507" s="50"/>
      <c r="CM507" s="50"/>
      <c r="CN507" s="50"/>
      <c r="CO507" s="50"/>
      <c r="CP507" s="50"/>
      <c r="CQ507" s="50"/>
      <c r="CR507" s="50"/>
      <c r="CS507" s="50"/>
      <c r="CT507" s="50"/>
      <c r="CU507" s="50"/>
      <c r="CV507" s="50"/>
      <c r="CW507" s="50"/>
      <c r="CX507" s="50"/>
      <c r="CY507" s="50"/>
      <c r="CZ507" s="50"/>
      <c r="DA507" s="50"/>
      <c r="DB507" s="50"/>
      <c r="DC507" s="50"/>
      <c r="DD507" s="50"/>
      <c r="DE507" s="50"/>
      <c r="DF507" s="50"/>
      <c r="DG507" s="50"/>
      <c r="DH507" s="50"/>
      <c r="DI507" s="50"/>
      <c r="DJ507" s="50"/>
      <c r="DK507" s="50"/>
      <c r="DL507" s="50"/>
      <c r="DM507" s="50"/>
      <c r="DN507" s="50"/>
      <c r="DO507" s="50"/>
      <c r="DP507" s="50"/>
      <c r="DQ507" s="50"/>
      <c r="DR507" s="50"/>
      <c r="DS507" s="50"/>
      <c r="DT507" s="50"/>
      <c r="DU507" s="50"/>
      <c r="DV507" s="50"/>
      <c r="DW507" s="50"/>
      <c r="DX507" s="50"/>
      <c r="DY507" s="50"/>
      <c r="DZ507" s="50"/>
      <c r="EA507" s="50"/>
      <c r="EB507" s="50"/>
      <c r="EC507" s="50"/>
      <c r="ED507" s="50"/>
      <c r="EE507" s="50"/>
      <c r="EF507" s="50"/>
      <c r="EG507" s="50"/>
      <c r="EH507" s="50"/>
      <c r="EI507" s="50"/>
      <c r="EJ507" s="50"/>
      <c r="EK507" s="50"/>
      <c r="EL507" s="50"/>
      <c r="EM507" s="50"/>
      <c r="EN507" s="50"/>
      <c r="EO507" s="50"/>
      <c r="EP507" s="50"/>
      <c r="EQ507" s="50"/>
      <c r="ER507" s="50"/>
      <c r="ES507" s="50"/>
      <c r="ET507" s="50"/>
      <c r="EU507" s="50"/>
      <c r="EV507" s="50"/>
      <c r="EW507" s="50"/>
      <c r="EX507" s="50"/>
      <c r="EY507" s="50"/>
      <c r="EZ507" s="50"/>
      <c r="FA507" s="50"/>
      <c r="FB507" s="50"/>
      <c r="FC507" s="50"/>
      <c r="FD507" s="50"/>
      <c r="FE507" s="50"/>
      <c r="FF507" s="50"/>
      <c r="FG507" s="50"/>
      <c r="FH507" s="50"/>
      <c r="FI507" s="50"/>
      <c r="FJ507" s="50"/>
      <c r="FK507" s="50"/>
      <c r="FL507" s="50"/>
      <c r="FM507" s="50"/>
      <c r="FN507" s="50"/>
      <c r="FO507" s="50"/>
      <c r="FP507" s="50"/>
      <c r="FQ507" s="50"/>
      <c r="FR507" s="50"/>
      <c r="FS507" s="50"/>
      <c r="FT507" s="50"/>
      <c r="FU507" s="50"/>
      <c r="FV507" s="50"/>
      <c r="FW507" s="50"/>
      <c r="FX507" s="50"/>
      <c r="FY507" s="50"/>
      <c r="FZ507" s="50"/>
      <c r="GA507" s="50"/>
      <c r="GB507" s="50"/>
      <c r="GC507" s="50"/>
      <c r="GD507" s="50"/>
      <c r="GE507" s="50"/>
      <c r="GF507" s="50"/>
    </row>
    <row r="508" spans="1:188">
      <c r="A508" s="147"/>
      <c r="B508" s="147"/>
      <c r="C508" s="51"/>
      <c r="D508" s="52"/>
      <c r="E508" s="47"/>
      <c r="F508" s="47"/>
      <c r="G508" s="47"/>
      <c r="H508" s="47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0"/>
      <c r="BR508" s="50"/>
      <c r="BS508" s="50"/>
      <c r="BT508" s="50"/>
      <c r="BU508" s="50"/>
      <c r="BV508" s="50"/>
      <c r="BW508" s="50"/>
      <c r="BX508" s="50"/>
      <c r="BY508" s="50"/>
      <c r="BZ508" s="50"/>
      <c r="CA508" s="50"/>
      <c r="CB508" s="50"/>
      <c r="CC508" s="50"/>
      <c r="CD508" s="50"/>
      <c r="CE508" s="50"/>
      <c r="CF508" s="50"/>
      <c r="CG508" s="50"/>
      <c r="CH508" s="50"/>
      <c r="CI508" s="50"/>
      <c r="CJ508" s="50"/>
      <c r="CK508" s="50"/>
      <c r="CL508" s="50"/>
      <c r="CM508" s="50"/>
      <c r="CN508" s="50"/>
      <c r="CO508" s="50"/>
      <c r="CP508" s="50"/>
      <c r="CQ508" s="50"/>
      <c r="CR508" s="50"/>
      <c r="CS508" s="50"/>
      <c r="CT508" s="50"/>
      <c r="CU508" s="50"/>
      <c r="CV508" s="50"/>
      <c r="CW508" s="50"/>
      <c r="CX508" s="50"/>
      <c r="CY508" s="50"/>
      <c r="CZ508" s="50"/>
      <c r="DA508" s="50"/>
      <c r="DB508" s="50"/>
      <c r="DC508" s="50"/>
      <c r="DD508" s="50"/>
      <c r="DE508" s="50"/>
      <c r="DF508" s="50"/>
      <c r="DG508" s="50"/>
      <c r="DH508" s="50"/>
      <c r="DI508" s="50"/>
      <c r="DJ508" s="50"/>
      <c r="DK508" s="50"/>
      <c r="DL508" s="50"/>
      <c r="DM508" s="50"/>
      <c r="DN508" s="50"/>
      <c r="DO508" s="50"/>
      <c r="DP508" s="50"/>
      <c r="DQ508" s="50"/>
      <c r="DR508" s="50"/>
      <c r="DS508" s="50"/>
      <c r="DT508" s="50"/>
      <c r="DU508" s="50"/>
      <c r="DV508" s="50"/>
      <c r="DW508" s="50"/>
      <c r="DX508" s="50"/>
      <c r="DY508" s="50"/>
      <c r="DZ508" s="50"/>
      <c r="EA508" s="50"/>
      <c r="EB508" s="50"/>
      <c r="EC508" s="50"/>
      <c r="ED508" s="50"/>
      <c r="EE508" s="50"/>
      <c r="EF508" s="50"/>
      <c r="EG508" s="50"/>
      <c r="EH508" s="50"/>
      <c r="EI508" s="50"/>
      <c r="EJ508" s="50"/>
      <c r="EK508" s="50"/>
      <c r="EL508" s="50"/>
      <c r="EM508" s="50"/>
      <c r="EN508" s="50"/>
      <c r="EO508" s="50"/>
      <c r="EP508" s="50"/>
      <c r="EQ508" s="50"/>
      <c r="ER508" s="50"/>
      <c r="ES508" s="50"/>
      <c r="ET508" s="50"/>
      <c r="EU508" s="50"/>
      <c r="EV508" s="50"/>
      <c r="EW508" s="50"/>
      <c r="EX508" s="50"/>
      <c r="EY508" s="50"/>
      <c r="EZ508" s="50"/>
      <c r="FA508" s="50"/>
      <c r="FB508" s="50"/>
      <c r="FC508" s="50"/>
      <c r="FD508" s="50"/>
      <c r="FE508" s="50"/>
      <c r="FF508" s="50"/>
      <c r="FG508" s="50"/>
      <c r="FH508" s="50"/>
      <c r="FI508" s="50"/>
      <c r="FJ508" s="50"/>
      <c r="FK508" s="50"/>
      <c r="FL508" s="50"/>
      <c r="FM508" s="50"/>
      <c r="FN508" s="50"/>
      <c r="FO508" s="50"/>
      <c r="FP508" s="50"/>
      <c r="FQ508" s="50"/>
      <c r="FR508" s="50"/>
      <c r="FS508" s="50"/>
      <c r="FT508" s="50"/>
      <c r="FU508" s="50"/>
      <c r="FV508" s="50"/>
      <c r="FW508" s="50"/>
      <c r="FX508" s="50"/>
      <c r="FY508" s="50"/>
      <c r="FZ508" s="50"/>
      <c r="GA508" s="50"/>
      <c r="GB508" s="50"/>
      <c r="GC508" s="50"/>
      <c r="GD508" s="50"/>
      <c r="GE508" s="50"/>
      <c r="GF508" s="50"/>
    </row>
    <row r="509" spans="1:188">
      <c r="A509" s="147"/>
      <c r="B509" s="147"/>
      <c r="C509" s="51"/>
      <c r="D509" s="52"/>
      <c r="E509" s="47"/>
      <c r="F509" s="47"/>
      <c r="G509" s="47"/>
      <c r="H509" s="47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/>
      <c r="CZ509" s="50"/>
      <c r="DA509" s="50"/>
      <c r="DB509" s="50"/>
      <c r="DC509" s="50"/>
      <c r="DD509" s="50"/>
      <c r="DE509" s="50"/>
      <c r="DF509" s="50"/>
      <c r="DG509" s="50"/>
      <c r="DH509" s="50"/>
      <c r="DI509" s="50"/>
      <c r="DJ509" s="50"/>
      <c r="DK509" s="50"/>
      <c r="DL509" s="50"/>
      <c r="DM509" s="50"/>
      <c r="DN509" s="50"/>
      <c r="DO509" s="50"/>
      <c r="DP509" s="50"/>
      <c r="DQ509" s="50"/>
      <c r="DR509" s="50"/>
      <c r="DS509" s="50"/>
      <c r="DT509" s="50"/>
      <c r="DU509" s="50"/>
      <c r="DV509" s="50"/>
      <c r="DW509" s="50"/>
      <c r="DX509" s="50"/>
      <c r="DY509" s="50"/>
      <c r="DZ509" s="50"/>
      <c r="EA509" s="50"/>
      <c r="EB509" s="50"/>
      <c r="EC509" s="50"/>
      <c r="ED509" s="50"/>
      <c r="EE509" s="50"/>
      <c r="EF509" s="50"/>
      <c r="EG509" s="50"/>
      <c r="EH509" s="50"/>
      <c r="EI509" s="50"/>
      <c r="EJ509" s="50"/>
      <c r="EK509" s="50"/>
      <c r="EL509" s="50"/>
      <c r="EM509" s="50"/>
      <c r="EN509" s="50"/>
      <c r="EO509" s="50"/>
      <c r="EP509" s="50"/>
      <c r="EQ509" s="50"/>
      <c r="ER509" s="50"/>
      <c r="ES509" s="50"/>
      <c r="ET509" s="50"/>
      <c r="EU509" s="50"/>
      <c r="EV509" s="50"/>
      <c r="EW509" s="50"/>
      <c r="EX509" s="50"/>
      <c r="EY509" s="50"/>
      <c r="EZ509" s="50"/>
      <c r="FA509" s="50"/>
      <c r="FB509" s="50"/>
      <c r="FC509" s="50"/>
      <c r="FD509" s="50"/>
      <c r="FE509" s="50"/>
      <c r="FF509" s="50"/>
      <c r="FG509" s="50"/>
      <c r="FH509" s="50"/>
      <c r="FI509" s="50"/>
      <c r="FJ509" s="50"/>
      <c r="FK509" s="50"/>
      <c r="FL509" s="50"/>
      <c r="FM509" s="50"/>
      <c r="FN509" s="50"/>
      <c r="FO509" s="50"/>
      <c r="FP509" s="50"/>
      <c r="FQ509" s="50"/>
      <c r="FR509" s="50"/>
      <c r="FS509" s="50"/>
      <c r="FT509" s="50"/>
      <c r="FU509" s="50"/>
      <c r="FV509" s="50"/>
      <c r="FW509" s="50"/>
      <c r="FX509" s="50"/>
      <c r="FY509" s="50"/>
      <c r="FZ509" s="50"/>
      <c r="GA509" s="50"/>
      <c r="GB509" s="50"/>
      <c r="GC509" s="50"/>
      <c r="GD509" s="50"/>
      <c r="GE509" s="50"/>
      <c r="GF509" s="50"/>
    </row>
    <row r="510" spans="1:188">
      <c r="A510" s="147"/>
      <c r="B510" s="147"/>
      <c r="C510" s="51"/>
      <c r="D510" s="52"/>
      <c r="E510" s="47"/>
      <c r="F510" s="47"/>
      <c r="G510" s="47"/>
      <c r="H510" s="47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0"/>
      <c r="BR510" s="50"/>
      <c r="BS510" s="50"/>
      <c r="BT510" s="50"/>
      <c r="BU510" s="50"/>
      <c r="BV510" s="50"/>
      <c r="BW510" s="50"/>
      <c r="BX510" s="50"/>
      <c r="BY510" s="50"/>
      <c r="BZ510" s="50"/>
      <c r="CA510" s="50"/>
      <c r="CB510" s="50"/>
      <c r="CC510" s="50"/>
      <c r="CD510" s="50"/>
      <c r="CE510" s="50"/>
      <c r="CF510" s="50"/>
      <c r="CG510" s="50"/>
      <c r="CH510" s="50"/>
      <c r="CI510" s="50"/>
      <c r="CJ510" s="50"/>
      <c r="CK510" s="50"/>
      <c r="CL510" s="50"/>
      <c r="CM510" s="50"/>
      <c r="CN510" s="50"/>
      <c r="CO510" s="50"/>
      <c r="CP510" s="50"/>
      <c r="CQ510" s="50"/>
      <c r="CR510" s="50"/>
      <c r="CS510" s="50"/>
      <c r="CT510" s="50"/>
      <c r="CU510" s="50"/>
      <c r="CV510" s="50"/>
      <c r="CW510" s="50"/>
      <c r="CX510" s="50"/>
      <c r="CY510" s="50"/>
      <c r="CZ510" s="50"/>
      <c r="DA510" s="50"/>
      <c r="DB510" s="50"/>
      <c r="DC510" s="50"/>
      <c r="DD510" s="50"/>
      <c r="DE510" s="50"/>
      <c r="DF510" s="50"/>
      <c r="DG510" s="50"/>
      <c r="DH510" s="50"/>
      <c r="DI510" s="50"/>
      <c r="DJ510" s="50"/>
      <c r="DK510" s="50"/>
      <c r="DL510" s="50"/>
      <c r="DM510" s="50"/>
      <c r="DN510" s="50"/>
      <c r="DO510" s="50"/>
      <c r="DP510" s="50"/>
      <c r="DQ510" s="50"/>
      <c r="DR510" s="50"/>
      <c r="DS510" s="50"/>
      <c r="DT510" s="50"/>
      <c r="DU510" s="50"/>
      <c r="DV510" s="50"/>
      <c r="DW510" s="50"/>
      <c r="DX510" s="50"/>
      <c r="DY510" s="50"/>
      <c r="DZ510" s="50"/>
      <c r="EA510" s="50"/>
      <c r="EB510" s="50"/>
      <c r="EC510" s="50"/>
      <c r="ED510" s="50"/>
      <c r="EE510" s="50"/>
      <c r="EF510" s="50"/>
      <c r="EG510" s="50"/>
      <c r="EH510" s="50"/>
      <c r="EI510" s="50"/>
      <c r="EJ510" s="50"/>
      <c r="EK510" s="50"/>
      <c r="EL510" s="50"/>
      <c r="EM510" s="50"/>
      <c r="EN510" s="50"/>
      <c r="EO510" s="50"/>
      <c r="EP510" s="50"/>
      <c r="EQ510" s="50"/>
      <c r="ER510" s="50"/>
      <c r="ES510" s="50"/>
      <c r="ET510" s="50"/>
      <c r="EU510" s="50"/>
      <c r="EV510" s="50"/>
      <c r="EW510" s="50"/>
      <c r="EX510" s="50"/>
      <c r="EY510" s="50"/>
      <c r="EZ510" s="50"/>
      <c r="FA510" s="50"/>
      <c r="FB510" s="50"/>
      <c r="FC510" s="50"/>
      <c r="FD510" s="50"/>
      <c r="FE510" s="50"/>
      <c r="FF510" s="50"/>
      <c r="FG510" s="50"/>
      <c r="FH510" s="50"/>
      <c r="FI510" s="50"/>
      <c r="FJ510" s="50"/>
      <c r="FK510" s="50"/>
      <c r="FL510" s="50"/>
      <c r="FM510" s="50"/>
      <c r="FN510" s="50"/>
      <c r="FO510" s="50"/>
      <c r="FP510" s="50"/>
      <c r="FQ510" s="50"/>
      <c r="FR510" s="50"/>
      <c r="FS510" s="50"/>
      <c r="FT510" s="50"/>
      <c r="FU510" s="50"/>
      <c r="FV510" s="50"/>
      <c r="FW510" s="50"/>
      <c r="FX510" s="50"/>
      <c r="FY510" s="50"/>
      <c r="FZ510" s="50"/>
      <c r="GA510" s="50"/>
      <c r="GB510" s="50"/>
      <c r="GC510" s="50"/>
      <c r="GD510" s="50"/>
      <c r="GE510" s="50"/>
      <c r="GF510" s="50"/>
    </row>
    <row r="511" spans="1:188">
      <c r="A511" s="147"/>
      <c r="B511" s="147"/>
      <c r="C511" s="51"/>
      <c r="D511" s="52"/>
      <c r="E511" s="47"/>
      <c r="F511" s="47"/>
      <c r="G511" s="47"/>
      <c r="H511" s="47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0"/>
      <c r="BR511" s="50"/>
      <c r="BS511" s="50"/>
      <c r="BT511" s="50"/>
      <c r="BU511" s="50"/>
      <c r="BV511" s="50"/>
      <c r="BW511" s="50"/>
      <c r="BX511" s="50"/>
      <c r="BY511" s="50"/>
      <c r="BZ511" s="50"/>
      <c r="CA511" s="50"/>
      <c r="CB511" s="50"/>
      <c r="CC511" s="50"/>
      <c r="CD511" s="50"/>
      <c r="CE511" s="50"/>
      <c r="CF511" s="50"/>
      <c r="CG511" s="50"/>
      <c r="CH511" s="50"/>
      <c r="CI511" s="50"/>
      <c r="CJ511" s="50"/>
      <c r="CK511" s="50"/>
      <c r="CL511" s="50"/>
      <c r="CM511" s="50"/>
      <c r="CN511" s="50"/>
      <c r="CO511" s="50"/>
      <c r="CP511" s="50"/>
      <c r="CQ511" s="50"/>
      <c r="CR511" s="50"/>
      <c r="CS511" s="50"/>
      <c r="CT511" s="50"/>
      <c r="CU511" s="50"/>
      <c r="CV511" s="50"/>
      <c r="CW511" s="50"/>
      <c r="CX511" s="50"/>
      <c r="CY511" s="50"/>
      <c r="CZ511" s="50"/>
      <c r="DA511" s="50"/>
      <c r="DB511" s="50"/>
      <c r="DC511" s="50"/>
      <c r="DD511" s="50"/>
      <c r="DE511" s="50"/>
      <c r="DF511" s="50"/>
      <c r="DG511" s="50"/>
      <c r="DH511" s="50"/>
      <c r="DI511" s="50"/>
      <c r="DJ511" s="50"/>
      <c r="DK511" s="50"/>
      <c r="DL511" s="50"/>
      <c r="DM511" s="50"/>
      <c r="DN511" s="50"/>
      <c r="DO511" s="50"/>
      <c r="DP511" s="50"/>
      <c r="DQ511" s="50"/>
      <c r="DR511" s="50"/>
      <c r="DS511" s="50"/>
      <c r="DT511" s="50"/>
      <c r="DU511" s="50"/>
      <c r="DV511" s="50"/>
      <c r="DW511" s="50"/>
      <c r="DX511" s="50"/>
      <c r="DY511" s="50"/>
      <c r="DZ511" s="50"/>
      <c r="EA511" s="50"/>
      <c r="EB511" s="50"/>
      <c r="EC511" s="50"/>
      <c r="ED511" s="50"/>
      <c r="EE511" s="50"/>
      <c r="EF511" s="50"/>
      <c r="EG511" s="50"/>
      <c r="EH511" s="50"/>
      <c r="EI511" s="50"/>
      <c r="EJ511" s="50"/>
      <c r="EK511" s="50"/>
      <c r="EL511" s="50"/>
      <c r="EM511" s="50"/>
      <c r="EN511" s="50"/>
      <c r="EO511" s="50"/>
      <c r="EP511" s="50"/>
      <c r="EQ511" s="50"/>
      <c r="ER511" s="50"/>
      <c r="ES511" s="50"/>
      <c r="ET511" s="50"/>
      <c r="EU511" s="50"/>
      <c r="EV511" s="50"/>
      <c r="EW511" s="50"/>
      <c r="EX511" s="50"/>
      <c r="EY511" s="50"/>
      <c r="EZ511" s="50"/>
      <c r="FA511" s="50"/>
      <c r="FB511" s="50"/>
      <c r="FC511" s="50"/>
      <c r="FD511" s="50"/>
      <c r="FE511" s="50"/>
      <c r="FF511" s="50"/>
      <c r="FG511" s="50"/>
      <c r="FH511" s="50"/>
      <c r="FI511" s="50"/>
      <c r="FJ511" s="50"/>
      <c r="FK511" s="50"/>
      <c r="FL511" s="50"/>
      <c r="FM511" s="50"/>
      <c r="FN511" s="50"/>
      <c r="FO511" s="50"/>
      <c r="FP511" s="50"/>
      <c r="FQ511" s="50"/>
      <c r="FR511" s="50"/>
      <c r="FS511" s="50"/>
      <c r="FT511" s="50"/>
      <c r="FU511" s="50"/>
      <c r="FV511" s="50"/>
      <c r="FW511" s="50"/>
      <c r="FX511" s="50"/>
      <c r="FY511" s="50"/>
      <c r="FZ511" s="50"/>
      <c r="GA511" s="50"/>
      <c r="GB511" s="50"/>
      <c r="GC511" s="50"/>
      <c r="GD511" s="50"/>
      <c r="GE511" s="50"/>
      <c r="GF511" s="50"/>
    </row>
    <row r="512" spans="1:188">
      <c r="A512" s="147"/>
      <c r="B512" s="147"/>
      <c r="C512" s="51"/>
      <c r="D512" s="52"/>
      <c r="E512" s="47"/>
      <c r="F512" s="47"/>
      <c r="G512" s="47"/>
      <c r="H512" s="47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0"/>
      <c r="BR512" s="50"/>
      <c r="BS512" s="50"/>
      <c r="BT512" s="50"/>
      <c r="BU512" s="50"/>
      <c r="BV512" s="50"/>
      <c r="BW512" s="50"/>
      <c r="BX512" s="50"/>
      <c r="BY512" s="50"/>
      <c r="BZ512" s="50"/>
      <c r="CA512" s="50"/>
      <c r="CB512" s="50"/>
      <c r="CC512" s="50"/>
      <c r="CD512" s="50"/>
      <c r="CE512" s="50"/>
      <c r="CF512" s="50"/>
      <c r="CG512" s="50"/>
      <c r="CH512" s="50"/>
      <c r="CI512" s="50"/>
      <c r="CJ512" s="50"/>
      <c r="CK512" s="50"/>
      <c r="CL512" s="50"/>
      <c r="CM512" s="50"/>
      <c r="CN512" s="50"/>
      <c r="CO512" s="50"/>
      <c r="CP512" s="50"/>
      <c r="CQ512" s="50"/>
      <c r="CR512" s="50"/>
      <c r="CS512" s="50"/>
      <c r="CT512" s="50"/>
      <c r="CU512" s="50"/>
      <c r="CV512" s="50"/>
      <c r="CW512" s="50"/>
      <c r="CX512" s="50"/>
      <c r="CY512" s="50"/>
      <c r="CZ512" s="50"/>
      <c r="DA512" s="50"/>
      <c r="DB512" s="50"/>
      <c r="DC512" s="50"/>
      <c r="DD512" s="50"/>
      <c r="DE512" s="50"/>
      <c r="DF512" s="50"/>
      <c r="DG512" s="50"/>
      <c r="DH512" s="50"/>
      <c r="DI512" s="50"/>
      <c r="DJ512" s="50"/>
      <c r="DK512" s="50"/>
      <c r="DL512" s="50"/>
      <c r="DM512" s="50"/>
      <c r="DN512" s="50"/>
      <c r="DO512" s="50"/>
      <c r="DP512" s="50"/>
      <c r="DQ512" s="50"/>
      <c r="DR512" s="50"/>
      <c r="DS512" s="50"/>
      <c r="DT512" s="50"/>
      <c r="DU512" s="50"/>
      <c r="DV512" s="50"/>
      <c r="DW512" s="50"/>
      <c r="DX512" s="50"/>
      <c r="DY512" s="50"/>
      <c r="DZ512" s="50"/>
      <c r="EA512" s="50"/>
      <c r="EB512" s="50"/>
      <c r="EC512" s="50"/>
      <c r="ED512" s="50"/>
      <c r="EE512" s="50"/>
      <c r="EF512" s="50"/>
      <c r="EG512" s="50"/>
      <c r="EH512" s="50"/>
      <c r="EI512" s="50"/>
      <c r="EJ512" s="50"/>
      <c r="EK512" s="50"/>
      <c r="EL512" s="50"/>
      <c r="EM512" s="50"/>
      <c r="EN512" s="50"/>
      <c r="EO512" s="50"/>
      <c r="EP512" s="50"/>
      <c r="EQ512" s="50"/>
      <c r="ER512" s="50"/>
      <c r="ES512" s="50"/>
      <c r="ET512" s="50"/>
      <c r="EU512" s="50"/>
      <c r="EV512" s="50"/>
      <c r="EW512" s="50"/>
      <c r="EX512" s="50"/>
      <c r="EY512" s="50"/>
      <c r="EZ512" s="50"/>
      <c r="FA512" s="50"/>
      <c r="FB512" s="50"/>
      <c r="FC512" s="50"/>
      <c r="FD512" s="50"/>
      <c r="FE512" s="50"/>
      <c r="FF512" s="50"/>
      <c r="FG512" s="50"/>
      <c r="FH512" s="50"/>
      <c r="FI512" s="50"/>
      <c r="FJ512" s="50"/>
      <c r="FK512" s="50"/>
      <c r="FL512" s="50"/>
      <c r="FM512" s="50"/>
      <c r="FN512" s="50"/>
      <c r="FO512" s="50"/>
      <c r="FP512" s="50"/>
      <c r="FQ512" s="50"/>
      <c r="FR512" s="50"/>
      <c r="FS512" s="50"/>
      <c r="FT512" s="50"/>
      <c r="FU512" s="50"/>
      <c r="FV512" s="50"/>
      <c r="FW512" s="50"/>
      <c r="FX512" s="50"/>
      <c r="FY512" s="50"/>
      <c r="FZ512" s="50"/>
      <c r="GA512" s="50"/>
      <c r="GB512" s="50"/>
      <c r="GC512" s="50"/>
      <c r="GD512" s="50"/>
      <c r="GE512" s="50"/>
      <c r="GF512" s="50"/>
    </row>
    <row r="513" spans="1:188">
      <c r="A513" s="147"/>
      <c r="B513" s="147"/>
      <c r="C513" s="51"/>
      <c r="D513" s="52"/>
      <c r="E513" s="47"/>
      <c r="F513" s="47"/>
      <c r="G513" s="47"/>
      <c r="H513" s="47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0"/>
      <c r="BR513" s="50"/>
      <c r="BS513" s="50"/>
      <c r="BT513" s="50"/>
      <c r="BU513" s="50"/>
      <c r="BV513" s="50"/>
      <c r="BW513" s="50"/>
      <c r="BX513" s="50"/>
      <c r="BY513" s="50"/>
      <c r="BZ513" s="50"/>
      <c r="CA513" s="50"/>
      <c r="CB513" s="50"/>
      <c r="CC513" s="50"/>
      <c r="CD513" s="50"/>
      <c r="CE513" s="50"/>
      <c r="CF513" s="50"/>
      <c r="CG513" s="50"/>
      <c r="CH513" s="50"/>
      <c r="CI513" s="50"/>
      <c r="CJ513" s="50"/>
      <c r="CK513" s="50"/>
      <c r="CL513" s="50"/>
      <c r="CM513" s="50"/>
      <c r="CN513" s="50"/>
      <c r="CO513" s="50"/>
      <c r="CP513" s="50"/>
      <c r="CQ513" s="50"/>
      <c r="CR513" s="50"/>
      <c r="CS513" s="50"/>
      <c r="CT513" s="50"/>
      <c r="CU513" s="50"/>
      <c r="CV513" s="50"/>
      <c r="CW513" s="50"/>
      <c r="CX513" s="50"/>
      <c r="CY513" s="50"/>
      <c r="CZ513" s="50"/>
      <c r="DA513" s="50"/>
      <c r="DB513" s="50"/>
      <c r="DC513" s="50"/>
      <c r="DD513" s="50"/>
      <c r="DE513" s="50"/>
      <c r="DF513" s="50"/>
      <c r="DG513" s="50"/>
      <c r="DH513" s="50"/>
      <c r="DI513" s="50"/>
      <c r="DJ513" s="50"/>
      <c r="DK513" s="50"/>
      <c r="DL513" s="50"/>
      <c r="DM513" s="50"/>
      <c r="DN513" s="50"/>
      <c r="DO513" s="50"/>
      <c r="DP513" s="50"/>
      <c r="DQ513" s="50"/>
      <c r="DR513" s="50"/>
      <c r="DS513" s="50"/>
      <c r="DT513" s="50"/>
      <c r="DU513" s="50"/>
      <c r="DV513" s="50"/>
      <c r="DW513" s="50"/>
      <c r="DX513" s="50"/>
      <c r="DY513" s="50"/>
      <c r="DZ513" s="50"/>
      <c r="EA513" s="50"/>
      <c r="EB513" s="50"/>
      <c r="EC513" s="50"/>
      <c r="ED513" s="50"/>
      <c r="EE513" s="50"/>
      <c r="EF513" s="50"/>
      <c r="EG513" s="50"/>
      <c r="EH513" s="50"/>
      <c r="EI513" s="50"/>
      <c r="EJ513" s="50"/>
      <c r="EK513" s="50"/>
      <c r="EL513" s="50"/>
      <c r="EM513" s="50"/>
      <c r="EN513" s="50"/>
      <c r="EO513" s="50"/>
      <c r="EP513" s="50"/>
      <c r="EQ513" s="50"/>
      <c r="ER513" s="50"/>
      <c r="ES513" s="50"/>
      <c r="ET513" s="50"/>
      <c r="EU513" s="50"/>
      <c r="EV513" s="50"/>
      <c r="EW513" s="50"/>
      <c r="EX513" s="50"/>
      <c r="EY513" s="50"/>
      <c r="EZ513" s="50"/>
      <c r="FA513" s="50"/>
      <c r="FB513" s="50"/>
      <c r="FC513" s="50"/>
      <c r="FD513" s="50"/>
      <c r="FE513" s="50"/>
      <c r="FF513" s="50"/>
      <c r="FG513" s="50"/>
      <c r="FH513" s="50"/>
      <c r="FI513" s="50"/>
      <c r="FJ513" s="50"/>
      <c r="FK513" s="50"/>
      <c r="FL513" s="50"/>
      <c r="FM513" s="50"/>
      <c r="FN513" s="50"/>
      <c r="FO513" s="50"/>
      <c r="FP513" s="50"/>
      <c r="FQ513" s="50"/>
      <c r="FR513" s="50"/>
      <c r="FS513" s="50"/>
      <c r="FT513" s="50"/>
      <c r="FU513" s="50"/>
      <c r="FV513" s="50"/>
      <c r="FW513" s="50"/>
      <c r="FX513" s="50"/>
      <c r="FY513" s="50"/>
      <c r="FZ513" s="50"/>
      <c r="GA513" s="50"/>
      <c r="GB513" s="50"/>
      <c r="GC513" s="50"/>
      <c r="GD513" s="50"/>
      <c r="GE513" s="50"/>
      <c r="GF513" s="50"/>
    </row>
    <row r="514" spans="1:188">
      <c r="A514" s="147"/>
      <c r="B514" s="147"/>
      <c r="C514" s="51"/>
      <c r="D514" s="52"/>
      <c r="E514" s="47"/>
      <c r="F514" s="47"/>
      <c r="G514" s="47"/>
      <c r="H514" s="47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0"/>
      <c r="BR514" s="50"/>
      <c r="BS514" s="50"/>
      <c r="BT514" s="50"/>
      <c r="BU514" s="50"/>
      <c r="BV514" s="50"/>
      <c r="BW514" s="50"/>
      <c r="BX514" s="50"/>
      <c r="BY514" s="50"/>
      <c r="BZ514" s="50"/>
      <c r="CA514" s="50"/>
      <c r="CB514" s="50"/>
      <c r="CC514" s="50"/>
      <c r="CD514" s="50"/>
      <c r="CE514" s="50"/>
      <c r="CF514" s="50"/>
      <c r="CG514" s="50"/>
      <c r="CH514" s="50"/>
      <c r="CI514" s="50"/>
      <c r="CJ514" s="50"/>
      <c r="CK514" s="50"/>
      <c r="CL514" s="50"/>
      <c r="CM514" s="50"/>
      <c r="CN514" s="50"/>
      <c r="CO514" s="50"/>
      <c r="CP514" s="50"/>
      <c r="CQ514" s="50"/>
      <c r="CR514" s="50"/>
      <c r="CS514" s="50"/>
      <c r="CT514" s="50"/>
      <c r="CU514" s="50"/>
      <c r="CV514" s="50"/>
      <c r="CW514" s="50"/>
      <c r="CX514" s="50"/>
      <c r="CY514" s="50"/>
      <c r="CZ514" s="50"/>
      <c r="DA514" s="50"/>
      <c r="DB514" s="50"/>
      <c r="DC514" s="50"/>
      <c r="DD514" s="50"/>
      <c r="DE514" s="50"/>
      <c r="DF514" s="50"/>
      <c r="DG514" s="50"/>
      <c r="DH514" s="50"/>
      <c r="DI514" s="50"/>
      <c r="DJ514" s="50"/>
      <c r="DK514" s="50"/>
      <c r="DL514" s="50"/>
      <c r="DM514" s="50"/>
      <c r="DN514" s="50"/>
      <c r="DO514" s="50"/>
      <c r="DP514" s="50"/>
      <c r="DQ514" s="50"/>
      <c r="DR514" s="50"/>
      <c r="DS514" s="50"/>
      <c r="DT514" s="50"/>
      <c r="DU514" s="50"/>
      <c r="DV514" s="50"/>
      <c r="DW514" s="50"/>
      <c r="DX514" s="50"/>
      <c r="DY514" s="50"/>
      <c r="DZ514" s="50"/>
      <c r="EA514" s="50"/>
      <c r="EB514" s="50"/>
      <c r="EC514" s="50"/>
      <c r="ED514" s="50"/>
      <c r="EE514" s="50"/>
      <c r="EF514" s="50"/>
      <c r="EG514" s="50"/>
      <c r="EH514" s="50"/>
      <c r="EI514" s="50"/>
      <c r="EJ514" s="50"/>
      <c r="EK514" s="50"/>
      <c r="EL514" s="50"/>
      <c r="EM514" s="50"/>
      <c r="EN514" s="50"/>
      <c r="EO514" s="50"/>
      <c r="EP514" s="50"/>
      <c r="EQ514" s="50"/>
      <c r="ER514" s="50"/>
      <c r="ES514" s="50"/>
      <c r="ET514" s="50"/>
      <c r="EU514" s="50"/>
      <c r="EV514" s="50"/>
      <c r="EW514" s="50"/>
      <c r="EX514" s="50"/>
      <c r="EY514" s="50"/>
      <c r="EZ514" s="50"/>
      <c r="FA514" s="50"/>
      <c r="FB514" s="50"/>
      <c r="FC514" s="50"/>
      <c r="FD514" s="50"/>
      <c r="FE514" s="50"/>
      <c r="FF514" s="50"/>
      <c r="FG514" s="50"/>
      <c r="FH514" s="50"/>
      <c r="FI514" s="50"/>
      <c r="FJ514" s="50"/>
      <c r="FK514" s="50"/>
      <c r="FL514" s="50"/>
      <c r="FM514" s="50"/>
      <c r="FN514" s="50"/>
      <c r="FO514" s="50"/>
      <c r="FP514" s="50"/>
      <c r="FQ514" s="50"/>
      <c r="FR514" s="50"/>
      <c r="FS514" s="50"/>
      <c r="FT514" s="50"/>
      <c r="FU514" s="50"/>
      <c r="FV514" s="50"/>
      <c r="FW514" s="50"/>
      <c r="FX514" s="50"/>
      <c r="FY514" s="50"/>
      <c r="FZ514" s="50"/>
      <c r="GA514" s="50"/>
      <c r="GB514" s="50"/>
      <c r="GC514" s="50"/>
      <c r="GD514" s="50"/>
      <c r="GE514" s="50"/>
      <c r="GF514" s="50"/>
    </row>
    <row r="515" spans="1:188">
      <c r="A515" s="147"/>
      <c r="B515" s="147"/>
      <c r="C515" s="51"/>
      <c r="D515" s="52"/>
      <c r="E515" s="47"/>
      <c r="F515" s="47"/>
      <c r="G515" s="47"/>
      <c r="H515" s="47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0"/>
      <c r="BR515" s="50"/>
      <c r="BS515" s="50"/>
      <c r="BT515" s="50"/>
      <c r="BU515" s="50"/>
      <c r="BV515" s="50"/>
      <c r="BW515" s="50"/>
      <c r="BX515" s="50"/>
      <c r="BY515" s="50"/>
      <c r="BZ515" s="50"/>
      <c r="CA515" s="50"/>
      <c r="CB515" s="50"/>
      <c r="CC515" s="50"/>
      <c r="CD515" s="50"/>
      <c r="CE515" s="50"/>
      <c r="CF515" s="50"/>
      <c r="CG515" s="50"/>
      <c r="CH515" s="50"/>
      <c r="CI515" s="50"/>
      <c r="CJ515" s="50"/>
      <c r="CK515" s="50"/>
      <c r="CL515" s="50"/>
      <c r="CM515" s="50"/>
      <c r="CN515" s="50"/>
      <c r="CO515" s="50"/>
      <c r="CP515" s="50"/>
      <c r="CQ515" s="50"/>
      <c r="CR515" s="50"/>
      <c r="CS515" s="50"/>
      <c r="CT515" s="50"/>
      <c r="CU515" s="50"/>
      <c r="CV515" s="50"/>
      <c r="CW515" s="50"/>
      <c r="CX515" s="50"/>
      <c r="CY515" s="50"/>
      <c r="CZ515" s="50"/>
      <c r="DA515" s="50"/>
      <c r="DB515" s="50"/>
      <c r="DC515" s="50"/>
      <c r="DD515" s="50"/>
      <c r="DE515" s="50"/>
      <c r="DF515" s="50"/>
      <c r="DG515" s="50"/>
      <c r="DH515" s="50"/>
      <c r="DI515" s="50"/>
      <c r="DJ515" s="50"/>
      <c r="DK515" s="50"/>
      <c r="DL515" s="50"/>
      <c r="DM515" s="50"/>
      <c r="DN515" s="50"/>
      <c r="DO515" s="50"/>
      <c r="DP515" s="50"/>
      <c r="DQ515" s="50"/>
      <c r="DR515" s="50"/>
      <c r="DS515" s="50"/>
      <c r="DT515" s="50"/>
      <c r="DU515" s="50"/>
      <c r="DV515" s="50"/>
      <c r="DW515" s="50"/>
      <c r="DX515" s="50"/>
      <c r="DY515" s="50"/>
      <c r="DZ515" s="50"/>
      <c r="EA515" s="50"/>
      <c r="EB515" s="50"/>
      <c r="EC515" s="50"/>
      <c r="ED515" s="50"/>
      <c r="EE515" s="50"/>
      <c r="EF515" s="50"/>
      <c r="EG515" s="50"/>
      <c r="EH515" s="50"/>
      <c r="EI515" s="50"/>
      <c r="EJ515" s="50"/>
      <c r="EK515" s="50"/>
      <c r="EL515" s="50"/>
      <c r="EM515" s="50"/>
      <c r="EN515" s="50"/>
      <c r="EO515" s="50"/>
      <c r="EP515" s="50"/>
      <c r="EQ515" s="50"/>
      <c r="ER515" s="50"/>
      <c r="ES515" s="50"/>
      <c r="ET515" s="50"/>
      <c r="EU515" s="50"/>
      <c r="EV515" s="50"/>
      <c r="EW515" s="50"/>
      <c r="EX515" s="50"/>
      <c r="EY515" s="50"/>
      <c r="EZ515" s="50"/>
      <c r="FA515" s="50"/>
      <c r="FB515" s="50"/>
      <c r="FC515" s="50"/>
      <c r="FD515" s="50"/>
      <c r="FE515" s="50"/>
      <c r="FF515" s="50"/>
      <c r="FG515" s="50"/>
      <c r="FH515" s="50"/>
      <c r="FI515" s="50"/>
      <c r="FJ515" s="50"/>
      <c r="FK515" s="50"/>
      <c r="FL515" s="50"/>
      <c r="FM515" s="50"/>
      <c r="FN515" s="50"/>
      <c r="FO515" s="50"/>
      <c r="FP515" s="50"/>
      <c r="FQ515" s="50"/>
      <c r="FR515" s="50"/>
      <c r="FS515" s="50"/>
      <c r="FT515" s="50"/>
      <c r="FU515" s="50"/>
      <c r="FV515" s="50"/>
      <c r="FW515" s="50"/>
      <c r="FX515" s="50"/>
      <c r="FY515" s="50"/>
      <c r="FZ515" s="50"/>
      <c r="GA515" s="50"/>
      <c r="GB515" s="50"/>
      <c r="GC515" s="50"/>
      <c r="GD515" s="50"/>
      <c r="GE515" s="50"/>
      <c r="GF515" s="50"/>
    </row>
    <row r="516" spans="1:188">
      <c r="A516" s="147"/>
      <c r="B516" s="147"/>
      <c r="C516" s="51"/>
      <c r="D516" s="52"/>
      <c r="E516" s="47"/>
      <c r="F516" s="47"/>
      <c r="G516" s="47"/>
      <c r="H516" s="47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0"/>
      <c r="BR516" s="50"/>
      <c r="BS516" s="50"/>
      <c r="BT516" s="50"/>
      <c r="BU516" s="50"/>
      <c r="BV516" s="50"/>
      <c r="BW516" s="50"/>
      <c r="BX516" s="50"/>
      <c r="BY516" s="50"/>
      <c r="BZ516" s="50"/>
      <c r="CA516" s="50"/>
      <c r="CB516" s="50"/>
      <c r="CC516" s="50"/>
      <c r="CD516" s="50"/>
      <c r="CE516" s="50"/>
      <c r="CF516" s="50"/>
      <c r="CG516" s="50"/>
      <c r="CH516" s="50"/>
      <c r="CI516" s="50"/>
      <c r="CJ516" s="50"/>
      <c r="CK516" s="50"/>
      <c r="CL516" s="50"/>
      <c r="CM516" s="50"/>
      <c r="CN516" s="50"/>
      <c r="CO516" s="50"/>
      <c r="CP516" s="50"/>
      <c r="CQ516" s="50"/>
      <c r="CR516" s="50"/>
      <c r="CS516" s="50"/>
      <c r="CT516" s="50"/>
      <c r="CU516" s="50"/>
      <c r="CV516" s="50"/>
      <c r="CW516" s="50"/>
      <c r="CX516" s="50"/>
      <c r="CY516" s="50"/>
      <c r="CZ516" s="50"/>
      <c r="DA516" s="50"/>
      <c r="DB516" s="50"/>
      <c r="DC516" s="50"/>
      <c r="DD516" s="50"/>
      <c r="DE516" s="50"/>
      <c r="DF516" s="50"/>
      <c r="DG516" s="50"/>
      <c r="DH516" s="50"/>
      <c r="DI516" s="50"/>
      <c r="DJ516" s="50"/>
      <c r="DK516" s="50"/>
      <c r="DL516" s="50"/>
      <c r="DM516" s="50"/>
      <c r="DN516" s="50"/>
      <c r="DO516" s="50"/>
      <c r="DP516" s="50"/>
      <c r="DQ516" s="50"/>
      <c r="DR516" s="50"/>
      <c r="DS516" s="50"/>
      <c r="DT516" s="50"/>
      <c r="DU516" s="50"/>
      <c r="DV516" s="50"/>
      <c r="DW516" s="50"/>
      <c r="DX516" s="50"/>
      <c r="DY516" s="50"/>
      <c r="DZ516" s="50"/>
      <c r="EA516" s="50"/>
      <c r="EB516" s="50"/>
      <c r="EC516" s="50"/>
      <c r="ED516" s="50"/>
      <c r="EE516" s="50"/>
      <c r="EF516" s="50"/>
      <c r="EG516" s="50"/>
      <c r="EH516" s="50"/>
      <c r="EI516" s="50"/>
      <c r="EJ516" s="50"/>
      <c r="EK516" s="50"/>
      <c r="EL516" s="50"/>
      <c r="EM516" s="50"/>
      <c r="EN516" s="50"/>
      <c r="EO516" s="50"/>
      <c r="EP516" s="50"/>
      <c r="EQ516" s="50"/>
      <c r="ER516" s="50"/>
      <c r="ES516" s="50"/>
      <c r="ET516" s="50"/>
      <c r="EU516" s="50"/>
      <c r="EV516" s="50"/>
      <c r="EW516" s="50"/>
      <c r="EX516" s="50"/>
      <c r="EY516" s="50"/>
      <c r="EZ516" s="50"/>
      <c r="FA516" s="50"/>
      <c r="FB516" s="50"/>
      <c r="FC516" s="50"/>
      <c r="FD516" s="50"/>
      <c r="FE516" s="50"/>
      <c r="FF516" s="50"/>
      <c r="FG516" s="50"/>
      <c r="FH516" s="50"/>
      <c r="FI516" s="50"/>
      <c r="FJ516" s="50"/>
      <c r="FK516" s="50"/>
      <c r="FL516" s="50"/>
      <c r="FM516" s="50"/>
      <c r="FN516" s="50"/>
      <c r="FO516" s="50"/>
      <c r="FP516" s="50"/>
      <c r="FQ516" s="50"/>
      <c r="FR516" s="50"/>
      <c r="FS516" s="50"/>
      <c r="FT516" s="50"/>
      <c r="FU516" s="50"/>
      <c r="FV516" s="50"/>
      <c r="FW516" s="50"/>
      <c r="FX516" s="50"/>
      <c r="FY516" s="50"/>
      <c r="FZ516" s="50"/>
      <c r="GA516" s="50"/>
      <c r="GB516" s="50"/>
      <c r="GC516" s="50"/>
      <c r="GD516" s="50"/>
      <c r="GE516" s="50"/>
      <c r="GF516" s="50"/>
    </row>
    <row r="517" spans="1:188">
      <c r="A517" s="147"/>
      <c r="B517" s="147"/>
      <c r="C517" s="51"/>
      <c r="D517" s="52"/>
      <c r="E517" s="47"/>
      <c r="F517" s="47"/>
      <c r="G517" s="47"/>
      <c r="H517" s="47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/>
      <c r="CZ517" s="50"/>
      <c r="DA517" s="50"/>
      <c r="DB517" s="50"/>
      <c r="DC517" s="50"/>
      <c r="DD517" s="50"/>
      <c r="DE517" s="50"/>
      <c r="DF517" s="50"/>
      <c r="DG517" s="50"/>
      <c r="DH517" s="50"/>
      <c r="DI517" s="50"/>
      <c r="DJ517" s="50"/>
      <c r="DK517" s="50"/>
      <c r="DL517" s="50"/>
      <c r="DM517" s="50"/>
      <c r="DN517" s="50"/>
      <c r="DO517" s="50"/>
      <c r="DP517" s="50"/>
      <c r="DQ517" s="50"/>
      <c r="DR517" s="50"/>
      <c r="DS517" s="50"/>
      <c r="DT517" s="50"/>
      <c r="DU517" s="50"/>
      <c r="DV517" s="50"/>
      <c r="DW517" s="50"/>
      <c r="DX517" s="50"/>
      <c r="DY517" s="50"/>
      <c r="DZ517" s="50"/>
      <c r="EA517" s="50"/>
      <c r="EB517" s="50"/>
      <c r="EC517" s="50"/>
      <c r="ED517" s="50"/>
      <c r="EE517" s="50"/>
      <c r="EF517" s="50"/>
      <c r="EG517" s="50"/>
      <c r="EH517" s="50"/>
      <c r="EI517" s="50"/>
      <c r="EJ517" s="50"/>
      <c r="EK517" s="50"/>
      <c r="EL517" s="50"/>
      <c r="EM517" s="50"/>
      <c r="EN517" s="50"/>
      <c r="EO517" s="50"/>
      <c r="EP517" s="50"/>
      <c r="EQ517" s="50"/>
      <c r="ER517" s="50"/>
      <c r="ES517" s="50"/>
      <c r="ET517" s="50"/>
      <c r="EU517" s="50"/>
      <c r="EV517" s="50"/>
      <c r="EW517" s="50"/>
      <c r="EX517" s="50"/>
      <c r="EY517" s="50"/>
      <c r="EZ517" s="50"/>
      <c r="FA517" s="50"/>
      <c r="FB517" s="50"/>
      <c r="FC517" s="50"/>
      <c r="FD517" s="50"/>
      <c r="FE517" s="50"/>
      <c r="FF517" s="50"/>
      <c r="FG517" s="50"/>
      <c r="FH517" s="50"/>
      <c r="FI517" s="50"/>
      <c r="FJ517" s="50"/>
      <c r="FK517" s="50"/>
      <c r="FL517" s="50"/>
      <c r="FM517" s="50"/>
      <c r="FN517" s="50"/>
      <c r="FO517" s="50"/>
      <c r="FP517" s="50"/>
      <c r="FQ517" s="50"/>
      <c r="FR517" s="50"/>
      <c r="FS517" s="50"/>
      <c r="FT517" s="50"/>
      <c r="FU517" s="50"/>
      <c r="FV517" s="50"/>
      <c r="FW517" s="50"/>
      <c r="FX517" s="50"/>
      <c r="FY517" s="50"/>
      <c r="FZ517" s="50"/>
      <c r="GA517" s="50"/>
      <c r="GB517" s="50"/>
      <c r="GC517" s="50"/>
      <c r="GD517" s="50"/>
      <c r="GE517" s="50"/>
      <c r="GF517" s="50"/>
    </row>
    <row r="518" spans="1:188">
      <c r="A518" s="147"/>
      <c r="B518" s="147"/>
      <c r="C518" s="51"/>
      <c r="D518" s="52"/>
      <c r="E518" s="47"/>
      <c r="F518" s="47"/>
      <c r="G518" s="47"/>
      <c r="H518" s="47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/>
      <c r="BC518" s="50"/>
      <c r="BD518" s="50"/>
      <c r="BE518" s="50"/>
      <c r="BF518" s="50"/>
      <c r="BG518" s="50"/>
      <c r="BH518" s="50"/>
      <c r="BI518" s="50"/>
      <c r="BJ518" s="50"/>
      <c r="BK518" s="50"/>
      <c r="BL518" s="50"/>
      <c r="BM518" s="50"/>
      <c r="BN518" s="50"/>
      <c r="BO518" s="50"/>
      <c r="BP518" s="50"/>
      <c r="BQ518" s="50"/>
      <c r="BR518" s="50"/>
      <c r="BS518" s="50"/>
      <c r="BT518" s="50"/>
      <c r="BU518" s="50"/>
      <c r="BV518" s="50"/>
      <c r="BW518" s="50"/>
      <c r="BX518" s="50"/>
      <c r="BY518" s="50"/>
      <c r="BZ518" s="50"/>
      <c r="CA518" s="50"/>
      <c r="CB518" s="50"/>
      <c r="CC518" s="50"/>
      <c r="CD518" s="50"/>
      <c r="CE518" s="50"/>
      <c r="CF518" s="50"/>
      <c r="CG518" s="50"/>
      <c r="CH518" s="50"/>
      <c r="CI518" s="50"/>
      <c r="CJ518" s="50"/>
      <c r="CK518" s="50"/>
      <c r="CL518" s="50"/>
      <c r="CM518" s="50"/>
      <c r="CN518" s="50"/>
      <c r="CO518" s="50"/>
      <c r="CP518" s="50"/>
      <c r="CQ518" s="50"/>
      <c r="CR518" s="50"/>
      <c r="CS518" s="50"/>
      <c r="CT518" s="50"/>
      <c r="CU518" s="50"/>
      <c r="CV518" s="50"/>
      <c r="CW518" s="50"/>
      <c r="CX518" s="50"/>
      <c r="CY518" s="50"/>
      <c r="CZ518" s="50"/>
      <c r="DA518" s="50"/>
      <c r="DB518" s="50"/>
      <c r="DC518" s="50"/>
      <c r="DD518" s="50"/>
      <c r="DE518" s="50"/>
      <c r="DF518" s="50"/>
      <c r="DG518" s="50"/>
      <c r="DH518" s="50"/>
      <c r="DI518" s="50"/>
      <c r="DJ518" s="50"/>
      <c r="DK518" s="50"/>
      <c r="DL518" s="50"/>
      <c r="DM518" s="50"/>
      <c r="DN518" s="50"/>
      <c r="DO518" s="50"/>
      <c r="DP518" s="50"/>
      <c r="DQ518" s="50"/>
      <c r="DR518" s="50"/>
      <c r="DS518" s="50"/>
      <c r="DT518" s="50"/>
      <c r="DU518" s="50"/>
      <c r="DV518" s="50"/>
      <c r="DW518" s="50"/>
      <c r="DX518" s="50"/>
      <c r="DY518" s="50"/>
      <c r="DZ518" s="50"/>
      <c r="EA518" s="50"/>
      <c r="EB518" s="50"/>
      <c r="EC518" s="50"/>
      <c r="ED518" s="50"/>
      <c r="EE518" s="50"/>
      <c r="EF518" s="50"/>
      <c r="EG518" s="50"/>
      <c r="EH518" s="50"/>
      <c r="EI518" s="50"/>
      <c r="EJ518" s="50"/>
      <c r="EK518" s="50"/>
      <c r="EL518" s="50"/>
      <c r="EM518" s="50"/>
      <c r="EN518" s="50"/>
      <c r="EO518" s="50"/>
      <c r="EP518" s="50"/>
      <c r="EQ518" s="50"/>
      <c r="ER518" s="50"/>
      <c r="ES518" s="50"/>
      <c r="ET518" s="50"/>
      <c r="EU518" s="50"/>
      <c r="EV518" s="50"/>
      <c r="EW518" s="50"/>
      <c r="EX518" s="50"/>
      <c r="EY518" s="50"/>
      <c r="EZ518" s="50"/>
      <c r="FA518" s="50"/>
      <c r="FB518" s="50"/>
      <c r="FC518" s="50"/>
      <c r="FD518" s="50"/>
      <c r="FE518" s="50"/>
      <c r="FF518" s="50"/>
      <c r="FG518" s="50"/>
      <c r="FH518" s="50"/>
      <c r="FI518" s="50"/>
      <c r="FJ518" s="50"/>
      <c r="FK518" s="50"/>
      <c r="FL518" s="50"/>
      <c r="FM518" s="50"/>
      <c r="FN518" s="50"/>
      <c r="FO518" s="50"/>
      <c r="FP518" s="50"/>
      <c r="FQ518" s="50"/>
      <c r="FR518" s="50"/>
      <c r="FS518" s="50"/>
      <c r="FT518" s="50"/>
      <c r="FU518" s="50"/>
      <c r="FV518" s="50"/>
      <c r="FW518" s="50"/>
      <c r="FX518" s="50"/>
      <c r="FY518" s="50"/>
      <c r="FZ518" s="50"/>
      <c r="GA518" s="50"/>
      <c r="GB518" s="50"/>
      <c r="GC518" s="50"/>
      <c r="GD518" s="50"/>
      <c r="GE518" s="50"/>
      <c r="GF518" s="50"/>
    </row>
    <row r="519" spans="1:188">
      <c r="A519" s="147"/>
      <c r="B519" s="147"/>
      <c r="C519" s="51"/>
      <c r="D519" s="52"/>
      <c r="E519" s="47"/>
      <c r="F519" s="47"/>
      <c r="G519" s="47"/>
      <c r="H519" s="47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/>
      <c r="BC519" s="50"/>
      <c r="BD519" s="50"/>
      <c r="BE519" s="50"/>
      <c r="BF519" s="50"/>
      <c r="BG519" s="50"/>
      <c r="BH519" s="50"/>
      <c r="BI519" s="50"/>
      <c r="BJ519" s="50"/>
      <c r="BK519" s="50"/>
      <c r="BL519" s="50"/>
      <c r="BM519" s="50"/>
      <c r="BN519" s="50"/>
      <c r="BO519" s="50"/>
      <c r="BP519" s="50"/>
      <c r="BQ519" s="50"/>
      <c r="BR519" s="50"/>
      <c r="BS519" s="50"/>
      <c r="BT519" s="50"/>
      <c r="BU519" s="50"/>
      <c r="BV519" s="50"/>
      <c r="BW519" s="50"/>
      <c r="BX519" s="50"/>
      <c r="BY519" s="50"/>
      <c r="BZ519" s="50"/>
      <c r="CA519" s="50"/>
      <c r="CB519" s="50"/>
      <c r="CC519" s="50"/>
      <c r="CD519" s="50"/>
      <c r="CE519" s="50"/>
      <c r="CF519" s="50"/>
      <c r="CG519" s="50"/>
      <c r="CH519" s="50"/>
      <c r="CI519" s="50"/>
      <c r="CJ519" s="50"/>
      <c r="CK519" s="50"/>
      <c r="CL519" s="50"/>
      <c r="CM519" s="50"/>
      <c r="CN519" s="50"/>
      <c r="CO519" s="50"/>
      <c r="CP519" s="50"/>
      <c r="CQ519" s="50"/>
      <c r="CR519" s="50"/>
      <c r="CS519" s="50"/>
      <c r="CT519" s="50"/>
      <c r="CU519" s="50"/>
      <c r="CV519" s="50"/>
      <c r="CW519" s="50"/>
      <c r="CX519" s="50"/>
      <c r="CY519" s="50"/>
      <c r="CZ519" s="50"/>
      <c r="DA519" s="50"/>
      <c r="DB519" s="50"/>
      <c r="DC519" s="50"/>
      <c r="DD519" s="50"/>
      <c r="DE519" s="50"/>
      <c r="DF519" s="50"/>
      <c r="DG519" s="50"/>
      <c r="DH519" s="50"/>
      <c r="DI519" s="50"/>
      <c r="DJ519" s="50"/>
      <c r="DK519" s="50"/>
      <c r="DL519" s="50"/>
      <c r="DM519" s="50"/>
      <c r="DN519" s="50"/>
      <c r="DO519" s="50"/>
      <c r="DP519" s="50"/>
      <c r="DQ519" s="50"/>
      <c r="DR519" s="50"/>
      <c r="DS519" s="50"/>
      <c r="DT519" s="50"/>
      <c r="DU519" s="50"/>
      <c r="DV519" s="50"/>
      <c r="DW519" s="50"/>
      <c r="DX519" s="50"/>
      <c r="DY519" s="50"/>
      <c r="DZ519" s="50"/>
      <c r="EA519" s="50"/>
      <c r="EB519" s="50"/>
      <c r="EC519" s="50"/>
      <c r="ED519" s="50"/>
      <c r="EE519" s="50"/>
      <c r="EF519" s="50"/>
      <c r="EG519" s="50"/>
      <c r="EH519" s="50"/>
      <c r="EI519" s="50"/>
      <c r="EJ519" s="50"/>
      <c r="EK519" s="50"/>
      <c r="EL519" s="50"/>
      <c r="EM519" s="50"/>
      <c r="EN519" s="50"/>
      <c r="EO519" s="50"/>
      <c r="EP519" s="50"/>
      <c r="EQ519" s="50"/>
      <c r="ER519" s="50"/>
      <c r="ES519" s="50"/>
      <c r="ET519" s="50"/>
      <c r="EU519" s="50"/>
      <c r="EV519" s="50"/>
      <c r="EW519" s="50"/>
      <c r="EX519" s="50"/>
      <c r="EY519" s="50"/>
      <c r="EZ519" s="50"/>
      <c r="FA519" s="50"/>
      <c r="FB519" s="50"/>
      <c r="FC519" s="50"/>
      <c r="FD519" s="50"/>
      <c r="FE519" s="50"/>
      <c r="FF519" s="50"/>
      <c r="FG519" s="50"/>
      <c r="FH519" s="50"/>
      <c r="FI519" s="50"/>
      <c r="FJ519" s="50"/>
      <c r="FK519" s="50"/>
      <c r="FL519" s="50"/>
      <c r="FM519" s="50"/>
      <c r="FN519" s="50"/>
      <c r="FO519" s="50"/>
      <c r="FP519" s="50"/>
      <c r="FQ519" s="50"/>
      <c r="FR519" s="50"/>
      <c r="FS519" s="50"/>
      <c r="FT519" s="50"/>
      <c r="FU519" s="50"/>
      <c r="FV519" s="50"/>
      <c r="FW519" s="50"/>
      <c r="FX519" s="50"/>
      <c r="FY519" s="50"/>
      <c r="FZ519" s="50"/>
      <c r="GA519" s="50"/>
      <c r="GB519" s="50"/>
      <c r="GC519" s="50"/>
      <c r="GD519" s="50"/>
      <c r="GE519" s="50"/>
      <c r="GF519" s="50"/>
    </row>
    <row r="520" spans="1:188">
      <c r="A520" s="147"/>
      <c r="B520" s="147"/>
      <c r="C520" s="51"/>
      <c r="D520" s="52"/>
      <c r="E520" s="47"/>
      <c r="F520" s="47"/>
      <c r="G520" s="47"/>
      <c r="H520" s="47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/>
      <c r="BC520" s="50"/>
      <c r="BD520" s="50"/>
      <c r="BE520" s="50"/>
      <c r="BF520" s="50"/>
      <c r="BG520" s="50"/>
      <c r="BH520" s="50"/>
      <c r="BI520" s="50"/>
      <c r="BJ520" s="50"/>
      <c r="BK520" s="50"/>
      <c r="BL520" s="50"/>
      <c r="BM520" s="50"/>
      <c r="BN520" s="50"/>
      <c r="BO520" s="50"/>
      <c r="BP520" s="50"/>
      <c r="BQ520" s="50"/>
      <c r="BR520" s="50"/>
      <c r="BS520" s="50"/>
      <c r="BT520" s="50"/>
      <c r="BU520" s="50"/>
      <c r="BV520" s="50"/>
      <c r="BW520" s="50"/>
      <c r="BX520" s="50"/>
      <c r="BY520" s="50"/>
      <c r="BZ520" s="50"/>
      <c r="CA520" s="50"/>
      <c r="CB520" s="50"/>
      <c r="CC520" s="50"/>
      <c r="CD520" s="50"/>
      <c r="CE520" s="50"/>
      <c r="CF520" s="50"/>
      <c r="CG520" s="50"/>
      <c r="CH520" s="50"/>
      <c r="CI520" s="50"/>
      <c r="CJ520" s="50"/>
      <c r="CK520" s="50"/>
      <c r="CL520" s="50"/>
      <c r="CM520" s="50"/>
      <c r="CN520" s="50"/>
      <c r="CO520" s="50"/>
      <c r="CP520" s="50"/>
      <c r="CQ520" s="50"/>
      <c r="CR520" s="50"/>
      <c r="CS520" s="50"/>
      <c r="CT520" s="50"/>
      <c r="CU520" s="50"/>
      <c r="CV520" s="50"/>
      <c r="CW520" s="50"/>
      <c r="CX520" s="50"/>
      <c r="CY520" s="50"/>
      <c r="CZ520" s="50"/>
      <c r="DA520" s="50"/>
      <c r="DB520" s="50"/>
      <c r="DC520" s="50"/>
      <c r="DD520" s="50"/>
      <c r="DE520" s="50"/>
      <c r="DF520" s="50"/>
      <c r="DG520" s="50"/>
      <c r="DH520" s="50"/>
      <c r="DI520" s="50"/>
      <c r="DJ520" s="50"/>
      <c r="DK520" s="50"/>
      <c r="DL520" s="50"/>
      <c r="DM520" s="50"/>
      <c r="DN520" s="50"/>
      <c r="DO520" s="50"/>
      <c r="DP520" s="50"/>
      <c r="DQ520" s="50"/>
      <c r="DR520" s="50"/>
      <c r="DS520" s="50"/>
      <c r="DT520" s="50"/>
      <c r="DU520" s="50"/>
      <c r="DV520" s="50"/>
      <c r="DW520" s="50"/>
      <c r="DX520" s="50"/>
      <c r="DY520" s="50"/>
      <c r="DZ520" s="50"/>
      <c r="EA520" s="50"/>
      <c r="EB520" s="50"/>
      <c r="EC520" s="50"/>
      <c r="ED520" s="50"/>
      <c r="EE520" s="50"/>
      <c r="EF520" s="50"/>
      <c r="EG520" s="50"/>
      <c r="EH520" s="50"/>
      <c r="EI520" s="50"/>
      <c r="EJ520" s="50"/>
      <c r="EK520" s="50"/>
      <c r="EL520" s="50"/>
      <c r="EM520" s="50"/>
      <c r="EN520" s="50"/>
      <c r="EO520" s="50"/>
      <c r="EP520" s="50"/>
      <c r="EQ520" s="50"/>
      <c r="ER520" s="50"/>
      <c r="ES520" s="50"/>
      <c r="ET520" s="50"/>
      <c r="EU520" s="50"/>
      <c r="EV520" s="50"/>
      <c r="EW520" s="50"/>
      <c r="EX520" s="50"/>
      <c r="EY520" s="50"/>
      <c r="EZ520" s="50"/>
      <c r="FA520" s="50"/>
      <c r="FB520" s="50"/>
      <c r="FC520" s="50"/>
      <c r="FD520" s="50"/>
      <c r="FE520" s="50"/>
      <c r="FF520" s="50"/>
      <c r="FG520" s="50"/>
      <c r="FH520" s="50"/>
      <c r="FI520" s="50"/>
      <c r="FJ520" s="50"/>
      <c r="FK520" s="50"/>
      <c r="FL520" s="50"/>
      <c r="FM520" s="50"/>
      <c r="FN520" s="50"/>
      <c r="FO520" s="50"/>
      <c r="FP520" s="50"/>
      <c r="FQ520" s="50"/>
      <c r="FR520" s="50"/>
      <c r="FS520" s="50"/>
      <c r="FT520" s="50"/>
      <c r="FU520" s="50"/>
      <c r="FV520" s="50"/>
      <c r="FW520" s="50"/>
      <c r="FX520" s="50"/>
      <c r="FY520" s="50"/>
      <c r="FZ520" s="50"/>
      <c r="GA520" s="50"/>
      <c r="GB520" s="50"/>
      <c r="GC520" s="50"/>
      <c r="GD520" s="50"/>
      <c r="GE520" s="50"/>
      <c r="GF520" s="50"/>
    </row>
    <row r="521" spans="1:188">
      <c r="A521" s="147"/>
      <c r="B521" s="147"/>
      <c r="C521" s="51"/>
      <c r="D521" s="52"/>
      <c r="E521" s="47"/>
      <c r="F521" s="47"/>
      <c r="G521" s="47"/>
      <c r="H521" s="47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50"/>
      <c r="AT521" s="50"/>
      <c r="AU521" s="50"/>
      <c r="AV521" s="50"/>
      <c r="AW521" s="50"/>
      <c r="AX521" s="50"/>
      <c r="AY521" s="50"/>
      <c r="AZ521" s="50"/>
      <c r="BA521" s="50"/>
      <c r="BB521" s="50"/>
      <c r="BC521" s="50"/>
      <c r="BD521" s="50"/>
      <c r="BE521" s="50"/>
      <c r="BF521" s="50"/>
      <c r="BG521" s="50"/>
      <c r="BH521" s="50"/>
      <c r="BI521" s="50"/>
      <c r="BJ521" s="50"/>
      <c r="BK521" s="50"/>
      <c r="BL521" s="50"/>
      <c r="BM521" s="50"/>
      <c r="BN521" s="50"/>
      <c r="BO521" s="50"/>
      <c r="BP521" s="50"/>
      <c r="BQ521" s="50"/>
      <c r="BR521" s="50"/>
      <c r="BS521" s="50"/>
      <c r="BT521" s="50"/>
      <c r="BU521" s="50"/>
      <c r="BV521" s="50"/>
      <c r="BW521" s="50"/>
      <c r="BX521" s="50"/>
      <c r="BY521" s="50"/>
      <c r="BZ521" s="50"/>
      <c r="CA521" s="50"/>
      <c r="CB521" s="50"/>
      <c r="CC521" s="50"/>
      <c r="CD521" s="50"/>
      <c r="CE521" s="50"/>
      <c r="CF521" s="50"/>
      <c r="CG521" s="50"/>
      <c r="CH521" s="50"/>
      <c r="CI521" s="50"/>
      <c r="CJ521" s="50"/>
      <c r="CK521" s="50"/>
      <c r="CL521" s="50"/>
      <c r="CM521" s="50"/>
      <c r="CN521" s="50"/>
      <c r="CO521" s="50"/>
      <c r="CP521" s="50"/>
      <c r="CQ521" s="50"/>
      <c r="CR521" s="50"/>
      <c r="CS521" s="50"/>
      <c r="CT521" s="50"/>
      <c r="CU521" s="50"/>
      <c r="CV521" s="50"/>
      <c r="CW521" s="50"/>
      <c r="CX521" s="50"/>
      <c r="CY521" s="50"/>
      <c r="CZ521" s="50"/>
      <c r="DA521" s="50"/>
      <c r="DB521" s="50"/>
      <c r="DC521" s="50"/>
      <c r="DD521" s="50"/>
      <c r="DE521" s="50"/>
      <c r="DF521" s="50"/>
      <c r="DG521" s="50"/>
      <c r="DH521" s="50"/>
      <c r="DI521" s="50"/>
      <c r="DJ521" s="50"/>
      <c r="DK521" s="50"/>
      <c r="DL521" s="50"/>
      <c r="DM521" s="50"/>
      <c r="DN521" s="50"/>
      <c r="DO521" s="50"/>
      <c r="DP521" s="50"/>
      <c r="DQ521" s="50"/>
      <c r="DR521" s="50"/>
      <c r="DS521" s="50"/>
      <c r="DT521" s="50"/>
      <c r="DU521" s="50"/>
      <c r="DV521" s="50"/>
      <c r="DW521" s="50"/>
      <c r="DX521" s="50"/>
      <c r="DY521" s="50"/>
      <c r="DZ521" s="50"/>
      <c r="EA521" s="50"/>
      <c r="EB521" s="50"/>
      <c r="EC521" s="50"/>
      <c r="ED521" s="50"/>
      <c r="EE521" s="50"/>
      <c r="EF521" s="50"/>
      <c r="EG521" s="50"/>
      <c r="EH521" s="50"/>
      <c r="EI521" s="50"/>
      <c r="EJ521" s="50"/>
      <c r="EK521" s="50"/>
      <c r="EL521" s="50"/>
      <c r="EM521" s="50"/>
      <c r="EN521" s="50"/>
      <c r="EO521" s="50"/>
      <c r="EP521" s="50"/>
      <c r="EQ521" s="50"/>
      <c r="ER521" s="50"/>
      <c r="ES521" s="50"/>
      <c r="ET521" s="50"/>
      <c r="EU521" s="50"/>
      <c r="EV521" s="50"/>
      <c r="EW521" s="50"/>
      <c r="EX521" s="50"/>
      <c r="EY521" s="50"/>
      <c r="EZ521" s="50"/>
      <c r="FA521" s="50"/>
      <c r="FB521" s="50"/>
      <c r="FC521" s="50"/>
      <c r="FD521" s="50"/>
      <c r="FE521" s="50"/>
      <c r="FF521" s="50"/>
      <c r="FG521" s="50"/>
      <c r="FH521" s="50"/>
      <c r="FI521" s="50"/>
      <c r="FJ521" s="50"/>
      <c r="FK521" s="50"/>
      <c r="FL521" s="50"/>
      <c r="FM521" s="50"/>
      <c r="FN521" s="50"/>
      <c r="FO521" s="50"/>
      <c r="FP521" s="50"/>
      <c r="FQ521" s="50"/>
      <c r="FR521" s="50"/>
      <c r="FS521" s="50"/>
      <c r="FT521" s="50"/>
      <c r="FU521" s="50"/>
      <c r="FV521" s="50"/>
      <c r="FW521" s="50"/>
      <c r="FX521" s="50"/>
      <c r="FY521" s="50"/>
      <c r="FZ521" s="50"/>
      <c r="GA521" s="50"/>
      <c r="GB521" s="50"/>
      <c r="GC521" s="50"/>
      <c r="GD521" s="50"/>
      <c r="GE521" s="50"/>
      <c r="GF521" s="50"/>
    </row>
    <row r="522" spans="1:188">
      <c r="A522" s="147"/>
      <c r="B522" s="147"/>
      <c r="C522" s="51"/>
      <c r="D522" s="52"/>
      <c r="E522" s="47"/>
      <c r="F522" s="47"/>
      <c r="G522" s="47"/>
      <c r="H522" s="47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/>
      <c r="BC522" s="50"/>
      <c r="BD522" s="50"/>
      <c r="BE522" s="50"/>
      <c r="BF522" s="50"/>
      <c r="BG522" s="50"/>
      <c r="BH522" s="50"/>
      <c r="BI522" s="50"/>
      <c r="BJ522" s="50"/>
      <c r="BK522" s="50"/>
      <c r="BL522" s="50"/>
      <c r="BM522" s="50"/>
      <c r="BN522" s="50"/>
      <c r="BO522" s="50"/>
      <c r="BP522" s="50"/>
      <c r="BQ522" s="50"/>
      <c r="BR522" s="50"/>
      <c r="BS522" s="50"/>
      <c r="BT522" s="50"/>
      <c r="BU522" s="50"/>
      <c r="BV522" s="50"/>
      <c r="BW522" s="50"/>
      <c r="BX522" s="50"/>
      <c r="BY522" s="50"/>
      <c r="BZ522" s="50"/>
      <c r="CA522" s="50"/>
      <c r="CB522" s="50"/>
      <c r="CC522" s="50"/>
      <c r="CD522" s="50"/>
      <c r="CE522" s="50"/>
      <c r="CF522" s="50"/>
      <c r="CG522" s="50"/>
      <c r="CH522" s="50"/>
      <c r="CI522" s="50"/>
      <c r="CJ522" s="50"/>
      <c r="CK522" s="50"/>
      <c r="CL522" s="50"/>
      <c r="CM522" s="50"/>
      <c r="CN522" s="50"/>
      <c r="CO522" s="50"/>
      <c r="CP522" s="50"/>
      <c r="CQ522" s="50"/>
      <c r="CR522" s="50"/>
      <c r="CS522" s="50"/>
      <c r="CT522" s="50"/>
      <c r="CU522" s="50"/>
      <c r="CV522" s="50"/>
      <c r="CW522" s="50"/>
      <c r="CX522" s="50"/>
      <c r="CY522" s="50"/>
      <c r="CZ522" s="50"/>
      <c r="DA522" s="50"/>
      <c r="DB522" s="50"/>
      <c r="DC522" s="50"/>
      <c r="DD522" s="50"/>
      <c r="DE522" s="50"/>
      <c r="DF522" s="50"/>
      <c r="DG522" s="50"/>
      <c r="DH522" s="50"/>
      <c r="DI522" s="50"/>
      <c r="DJ522" s="50"/>
      <c r="DK522" s="50"/>
      <c r="DL522" s="50"/>
      <c r="DM522" s="50"/>
      <c r="DN522" s="50"/>
      <c r="DO522" s="50"/>
      <c r="DP522" s="50"/>
      <c r="DQ522" s="50"/>
      <c r="DR522" s="50"/>
      <c r="DS522" s="50"/>
      <c r="DT522" s="50"/>
      <c r="DU522" s="50"/>
      <c r="DV522" s="50"/>
      <c r="DW522" s="50"/>
      <c r="DX522" s="50"/>
      <c r="DY522" s="50"/>
      <c r="DZ522" s="50"/>
      <c r="EA522" s="50"/>
      <c r="EB522" s="50"/>
      <c r="EC522" s="50"/>
      <c r="ED522" s="50"/>
      <c r="EE522" s="50"/>
      <c r="EF522" s="50"/>
      <c r="EG522" s="50"/>
      <c r="EH522" s="50"/>
      <c r="EI522" s="50"/>
      <c r="EJ522" s="50"/>
      <c r="EK522" s="50"/>
      <c r="EL522" s="50"/>
      <c r="EM522" s="50"/>
      <c r="EN522" s="50"/>
      <c r="EO522" s="50"/>
      <c r="EP522" s="50"/>
      <c r="EQ522" s="50"/>
      <c r="ER522" s="50"/>
      <c r="ES522" s="50"/>
      <c r="ET522" s="50"/>
      <c r="EU522" s="50"/>
      <c r="EV522" s="50"/>
      <c r="EW522" s="50"/>
      <c r="EX522" s="50"/>
      <c r="EY522" s="50"/>
      <c r="EZ522" s="50"/>
      <c r="FA522" s="50"/>
      <c r="FB522" s="50"/>
      <c r="FC522" s="50"/>
      <c r="FD522" s="50"/>
      <c r="FE522" s="50"/>
      <c r="FF522" s="50"/>
      <c r="FG522" s="50"/>
      <c r="FH522" s="50"/>
      <c r="FI522" s="50"/>
      <c r="FJ522" s="50"/>
      <c r="FK522" s="50"/>
      <c r="FL522" s="50"/>
      <c r="FM522" s="50"/>
      <c r="FN522" s="50"/>
      <c r="FO522" s="50"/>
      <c r="FP522" s="50"/>
      <c r="FQ522" s="50"/>
      <c r="FR522" s="50"/>
      <c r="FS522" s="50"/>
      <c r="FT522" s="50"/>
      <c r="FU522" s="50"/>
      <c r="FV522" s="50"/>
      <c r="FW522" s="50"/>
      <c r="FX522" s="50"/>
      <c r="FY522" s="50"/>
      <c r="FZ522" s="50"/>
      <c r="GA522" s="50"/>
      <c r="GB522" s="50"/>
      <c r="GC522" s="50"/>
      <c r="GD522" s="50"/>
      <c r="GE522" s="50"/>
      <c r="GF522" s="50"/>
    </row>
    <row r="523" spans="1:188">
      <c r="A523" s="147"/>
      <c r="B523" s="147"/>
      <c r="C523" s="51"/>
      <c r="D523" s="52"/>
      <c r="E523" s="47"/>
      <c r="F523" s="47"/>
      <c r="G523" s="47"/>
      <c r="H523" s="47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  <c r="AQ523" s="50"/>
      <c r="AR523" s="50"/>
      <c r="AS523" s="50"/>
      <c r="AT523" s="50"/>
      <c r="AU523" s="50"/>
      <c r="AV523" s="50"/>
      <c r="AW523" s="50"/>
      <c r="AX523" s="50"/>
      <c r="AY523" s="50"/>
      <c r="AZ523" s="50"/>
      <c r="BA523" s="50"/>
      <c r="BB523" s="50"/>
      <c r="BC523" s="50"/>
      <c r="BD523" s="50"/>
      <c r="BE523" s="50"/>
      <c r="BF523" s="50"/>
      <c r="BG523" s="50"/>
      <c r="BH523" s="50"/>
      <c r="BI523" s="50"/>
      <c r="BJ523" s="50"/>
      <c r="BK523" s="50"/>
      <c r="BL523" s="50"/>
      <c r="BM523" s="50"/>
      <c r="BN523" s="50"/>
      <c r="BO523" s="50"/>
      <c r="BP523" s="50"/>
      <c r="BQ523" s="50"/>
      <c r="BR523" s="50"/>
      <c r="BS523" s="50"/>
      <c r="BT523" s="50"/>
      <c r="BU523" s="50"/>
      <c r="BV523" s="50"/>
      <c r="BW523" s="50"/>
      <c r="BX523" s="50"/>
      <c r="BY523" s="50"/>
      <c r="BZ523" s="50"/>
      <c r="CA523" s="50"/>
      <c r="CB523" s="50"/>
      <c r="CC523" s="50"/>
      <c r="CD523" s="50"/>
      <c r="CE523" s="50"/>
      <c r="CF523" s="50"/>
      <c r="CG523" s="50"/>
      <c r="CH523" s="50"/>
      <c r="CI523" s="50"/>
      <c r="CJ523" s="50"/>
      <c r="CK523" s="50"/>
      <c r="CL523" s="50"/>
      <c r="CM523" s="50"/>
      <c r="CN523" s="50"/>
      <c r="CO523" s="50"/>
      <c r="CP523" s="50"/>
      <c r="CQ523" s="50"/>
      <c r="CR523" s="50"/>
      <c r="CS523" s="50"/>
      <c r="CT523" s="50"/>
      <c r="CU523" s="50"/>
      <c r="CV523" s="50"/>
      <c r="CW523" s="50"/>
      <c r="CX523" s="50"/>
      <c r="CY523" s="50"/>
      <c r="CZ523" s="50"/>
      <c r="DA523" s="50"/>
      <c r="DB523" s="50"/>
      <c r="DC523" s="50"/>
      <c r="DD523" s="50"/>
      <c r="DE523" s="50"/>
      <c r="DF523" s="50"/>
      <c r="DG523" s="50"/>
      <c r="DH523" s="50"/>
      <c r="DI523" s="50"/>
      <c r="DJ523" s="50"/>
      <c r="DK523" s="50"/>
      <c r="DL523" s="50"/>
      <c r="DM523" s="50"/>
      <c r="DN523" s="50"/>
      <c r="DO523" s="50"/>
      <c r="DP523" s="50"/>
      <c r="DQ523" s="50"/>
      <c r="DR523" s="50"/>
      <c r="DS523" s="50"/>
      <c r="DT523" s="50"/>
      <c r="DU523" s="50"/>
      <c r="DV523" s="50"/>
      <c r="DW523" s="50"/>
      <c r="DX523" s="50"/>
      <c r="DY523" s="50"/>
      <c r="DZ523" s="50"/>
      <c r="EA523" s="50"/>
      <c r="EB523" s="50"/>
      <c r="EC523" s="50"/>
      <c r="ED523" s="50"/>
      <c r="EE523" s="50"/>
      <c r="EF523" s="50"/>
      <c r="EG523" s="50"/>
      <c r="EH523" s="50"/>
      <c r="EI523" s="50"/>
      <c r="EJ523" s="50"/>
      <c r="EK523" s="50"/>
      <c r="EL523" s="50"/>
      <c r="EM523" s="50"/>
      <c r="EN523" s="50"/>
      <c r="EO523" s="50"/>
      <c r="EP523" s="50"/>
      <c r="EQ523" s="50"/>
      <c r="ER523" s="50"/>
      <c r="ES523" s="50"/>
      <c r="ET523" s="50"/>
      <c r="EU523" s="50"/>
      <c r="EV523" s="50"/>
      <c r="EW523" s="50"/>
      <c r="EX523" s="50"/>
      <c r="EY523" s="50"/>
      <c r="EZ523" s="50"/>
      <c r="FA523" s="50"/>
      <c r="FB523" s="50"/>
      <c r="FC523" s="50"/>
      <c r="FD523" s="50"/>
      <c r="FE523" s="50"/>
      <c r="FF523" s="50"/>
      <c r="FG523" s="50"/>
      <c r="FH523" s="50"/>
      <c r="FI523" s="50"/>
      <c r="FJ523" s="50"/>
      <c r="FK523" s="50"/>
      <c r="FL523" s="50"/>
      <c r="FM523" s="50"/>
      <c r="FN523" s="50"/>
      <c r="FO523" s="50"/>
      <c r="FP523" s="50"/>
      <c r="FQ523" s="50"/>
      <c r="FR523" s="50"/>
      <c r="FS523" s="50"/>
      <c r="FT523" s="50"/>
      <c r="FU523" s="50"/>
      <c r="FV523" s="50"/>
      <c r="FW523" s="50"/>
      <c r="FX523" s="50"/>
      <c r="FY523" s="50"/>
      <c r="FZ523" s="50"/>
      <c r="GA523" s="50"/>
      <c r="GB523" s="50"/>
      <c r="GC523" s="50"/>
      <c r="GD523" s="50"/>
      <c r="GE523" s="50"/>
      <c r="GF523" s="50"/>
    </row>
    <row r="524" spans="1:188">
      <c r="A524" s="147"/>
      <c r="B524" s="147"/>
      <c r="C524" s="51"/>
      <c r="D524" s="52"/>
      <c r="E524" s="47"/>
      <c r="F524" s="47"/>
      <c r="G524" s="47"/>
      <c r="H524" s="47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50"/>
      <c r="AW524" s="50"/>
      <c r="AX524" s="50"/>
      <c r="AY524" s="50"/>
      <c r="AZ524" s="50"/>
      <c r="BA524" s="50"/>
      <c r="BB524" s="50"/>
      <c r="BC524" s="50"/>
      <c r="BD524" s="50"/>
      <c r="BE524" s="50"/>
      <c r="BF524" s="50"/>
      <c r="BG524" s="50"/>
      <c r="BH524" s="50"/>
      <c r="BI524" s="50"/>
      <c r="BJ524" s="50"/>
      <c r="BK524" s="50"/>
      <c r="BL524" s="50"/>
      <c r="BM524" s="50"/>
      <c r="BN524" s="50"/>
      <c r="BO524" s="50"/>
      <c r="BP524" s="50"/>
      <c r="BQ524" s="50"/>
      <c r="BR524" s="50"/>
      <c r="BS524" s="50"/>
      <c r="BT524" s="50"/>
      <c r="BU524" s="50"/>
      <c r="BV524" s="50"/>
      <c r="BW524" s="50"/>
      <c r="BX524" s="50"/>
      <c r="BY524" s="50"/>
      <c r="BZ524" s="50"/>
      <c r="CA524" s="50"/>
      <c r="CB524" s="50"/>
      <c r="CC524" s="50"/>
      <c r="CD524" s="50"/>
      <c r="CE524" s="50"/>
      <c r="CF524" s="50"/>
      <c r="CG524" s="50"/>
      <c r="CH524" s="50"/>
      <c r="CI524" s="50"/>
      <c r="CJ524" s="50"/>
      <c r="CK524" s="50"/>
      <c r="CL524" s="50"/>
      <c r="CM524" s="50"/>
      <c r="CN524" s="50"/>
      <c r="CO524" s="50"/>
      <c r="CP524" s="50"/>
      <c r="CQ524" s="50"/>
      <c r="CR524" s="50"/>
      <c r="CS524" s="50"/>
      <c r="CT524" s="50"/>
      <c r="CU524" s="50"/>
      <c r="CV524" s="50"/>
      <c r="CW524" s="50"/>
      <c r="CX524" s="50"/>
      <c r="CY524" s="50"/>
      <c r="CZ524" s="50"/>
      <c r="DA524" s="50"/>
      <c r="DB524" s="50"/>
      <c r="DC524" s="50"/>
      <c r="DD524" s="50"/>
      <c r="DE524" s="50"/>
      <c r="DF524" s="50"/>
      <c r="DG524" s="50"/>
      <c r="DH524" s="50"/>
      <c r="DI524" s="50"/>
      <c r="DJ524" s="50"/>
      <c r="DK524" s="50"/>
      <c r="DL524" s="50"/>
      <c r="DM524" s="50"/>
      <c r="DN524" s="50"/>
      <c r="DO524" s="50"/>
      <c r="DP524" s="50"/>
      <c r="DQ524" s="50"/>
      <c r="DR524" s="50"/>
      <c r="DS524" s="50"/>
      <c r="DT524" s="50"/>
      <c r="DU524" s="50"/>
      <c r="DV524" s="50"/>
      <c r="DW524" s="50"/>
      <c r="DX524" s="50"/>
      <c r="DY524" s="50"/>
      <c r="DZ524" s="50"/>
      <c r="EA524" s="50"/>
      <c r="EB524" s="50"/>
      <c r="EC524" s="50"/>
      <c r="ED524" s="50"/>
      <c r="EE524" s="50"/>
      <c r="EF524" s="50"/>
      <c r="EG524" s="50"/>
      <c r="EH524" s="50"/>
      <c r="EI524" s="50"/>
      <c r="EJ524" s="50"/>
      <c r="EK524" s="50"/>
      <c r="EL524" s="50"/>
      <c r="EM524" s="50"/>
      <c r="EN524" s="50"/>
      <c r="EO524" s="50"/>
      <c r="EP524" s="50"/>
      <c r="EQ524" s="50"/>
      <c r="ER524" s="50"/>
      <c r="ES524" s="50"/>
      <c r="ET524" s="50"/>
      <c r="EU524" s="50"/>
      <c r="EV524" s="50"/>
      <c r="EW524" s="50"/>
      <c r="EX524" s="50"/>
      <c r="EY524" s="50"/>
      <c r="EZ524" s="50"/>
      <c r="FA524" s="50"/>
      <c r="FB524" s="50"/>
      <c r="FC524" s="50"/>
      <c r="FD524" s="50"/>
      <c r="FE524" s="50"/>
      <c r="FF524" s="50"/>
      <c r="FG524" s="50"/>
      <c r="FH524" s="50"/>
      <c r="FI524" s="50"/>
      <c r="FJ524" s="50"/>
      <c r="FK524" s="50"/>
      <c r="FL524" s="50"/>
      <c r="FM524" s="50"/>
      <c r="FN524" s="50"/>
      <c r="FO524" s="50"/>
      <c r="FP524" s="50"/>
      <c r="FQ524" s="50"/>
      <c r="FR524" s="50"/>
      <c r="FS524" s="50"/>
      <c r="FT524" s="50"/>
      <c r="FU524" s="50"/>
      <c r="FV524" s="50"/>
      <c r="FW524" s="50"/>
      <c r="FX524" s="50"/>
      <c r="FY524" s="50"/>
      <c r="FZ524" s="50"/>
      <c r="GA524" s="50"/>
      <c r="GB524" s="50"/>
      <c r="GC524" s="50"/>
      <c r="GD524" s="50"/>
      <c r="GE524" s="50"/>
      <c r="GF524" s="50"/>
    </row>
    <row r="525" spans="1:188">
      <c r="A525" s="147"/>
      <c r="B525" s="147"/>
      <c r="C525" s="51"/>
      <c r="D525" s="52"/>
      <c r="E525" s="47"/>
      <c r="F525" s="47"/>
      <c r="G525" s="47"/>
      <c r="H525" s="47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50"/>
      <c r="AV525" s="50"/>
      <c r="AW525" s="50"/>
      <c r="AX525" s="50"/>
      <c r="AY525" s="50"/>
      <c r="AZ525" s="50"/>
      <c r="BA525" s="50"/>
      <c r="BB525" s="50"/>
      <c r="BC525" s="50"/>
      <c r="BD525" s="50"/>
      <c r="BE525" s="50"/>
      <c r="BF525" s="50"/>
      <c r="BG525" s="50"/>
      <c r="BH525" s="50"/>
      <c r="BI525" s="50"/>
      <c r="BJ525" s="50"/>
      <c r="BK525" s="50"/>
      <c r="BL525" s="50"/>
      <c r="BM525" s="50"/>
      <c r="BN525" s="50"/>
      <c r="BO525" s="50"/>
      <c r="BP525" s="50"/>
      <c r="BQ525" s="50"/>
      <c r="BR525" s="50"/>
      <c r="BS525" s="50"/>
      <c r="BT525" s="50"/>
      <c r="BU525" s="50"/>
      <c r="BV525" s="50"/>
      <c r="BW525" s="50"/>
      <c r="BX525" s="50"/>
      <c r="BY525" s="50"/>
      <c r="BZ525" s="50"/>
      <c r="CA525" s="50"/>
      <c r="CB525" s="50"/>
      <c r="CC525" s="50"/>
      <c r="CD525" s="50"/>
      <c r="CE525" s="50"/>
      <c r="CF525" s="50"/>
      <c r="CG525" s="50"/>
      <c r="CH525" s="50"/>
      <c r="CI525" s="50"/>
      <c r="CJ525" s="50"/>
      <c r="CK525" s="50"/>
      <c r="CL525" s="50"/>
      <c r="CM525" s="50"/>
      <c r="CN525" s="50"/>
      <c r="CO525" s="50"/>
      <c r="CP525" s="50"/>
      <c r="CQ525" s="50"/>
      <c r="CR525" s="50"/>
      <c r="CS525" s="50"/>
      <c r="CT525" s="50"/>
      <c r="CU525" s="50"/>
      <c r="CV525" s="50"/>
      <c r="CW525" s="50"/>
      <c r="CX525" s="50"/>
      <c r="CY525" s="50"/>
      <c r="CZ525" s="50"/>
      <c r="DA525" s="50"/>
      <c r="DB525" s="50"/>
      <c r="DC525" s="50"/>
      <c r="DD525" s="50"/>
      <c r="DE525" s="50"/>
      <c r="DF525" s="50"/>
      <c r="DG525" s="50"/>
      <c r="DH525" s="50"/>
      <c r="DI525" s="50"/>
      <c r="DJ525" s="50"/>
      <c r="DK525" s="50"/>
      <c r="DL525" s="50"/>
      <c r="DM525" s="50"/>
      <c r="DN525" s="50"/>
      <c r="DO525" s="50"/>
      <c r="DP525" s="50"/>
      <c r="DQ525" s="50"/>
      <c r="DR525" s="50"/>
      <c r="DS525" s="50"/>
      <c r="DT525" s="50"/>
      <c r="DU525" s="50"/>
      <c r="DV525" s="50"/>
      <c r="DW525" s="50"/>
      <c r="DX525" s="50"/>
      <c r="DY525" s="50"/>
      <c r="DZ525" s="50"/>
      <c r="EA525" s="50"/>
      <c r="EB525" s="50"/>
      <c r="EC525" s="50"/>
      <c r="ED525" s="50"/>
      <c r="EE525" s="50"/>
      <c r="EF525" s="50"/>
      <c r="EG525" s="50"/>
      <c r="EH525" s="50"/>
      <c r="EI525" s="50"/>
      <c r="EJ525" s="50"/>
      <c r="EK525" s="50"/>
      <c r="EL525" s="50"/>
      <c r="EM525" s="50"/>
      <c r="EN525" s="50"/>
      <c r="EO525" s="50"/>
      <c r="EP525" s="50"/>
      <c r="EQ525" s="50"/>
      <c r="ER525" s="50"/>
      <c r="ES525" s="50"/>
      <c r="ET525" s="50"/>
      <c r="EU525" s="50"/>
      <c r="EV525" s="50"/>
      <c r="EW525" s="50"/>
      <c r="EX525" s="50"/>
      <c r="EY525" s="50"/>
      <c r="EZ525" s="50"/>
      <c r="FA525" s="50"/>
      <c r="FB525" s="50"/>
      <c r="FC525" s="50"/>
      <c r="FD525" s="50"/>
      <c r="FE525" s="50"/>
      <c r="FF525" s="50"/>
      <c r="FG525" s="50"/>
      <c r="FH525" s="50"/>
      <c r="FI525" s="50"/>
      <c r="FJ525" s="50"/>
      <c r="FK525" s="50"/>
      <c r="FL525" s="50"/>
      <c r="FM525" s="50"/>
      <c r="FN525" s="50"/>
      <c r="FO525" s="50"/>
      <c r="FP525" s="50"/>
      <c r="FQ525" s="50"/>
      <c r="FR525" s="50"/>
      <c r="FS525" s="50"/>
      <c r="FT525" s="50"/>
      <c r="FU525" s="50"/>
      <c r="FV525" s="50"/>
      <c r="FW525" s="50"/>
      <c r="FX525" s="50"/>
      <c r="FY525" s="50"/>
      <c r="FZ525" s="50"/>
      <c r="GA525" s="50"/>
      <c r="GB525" s="50"/>
      <c r="GC525" s="50"/>
      <c r="GD525" s="50"/>
      <c r="GE525" s="50"/>
      <c r="GF525" s="50"/>
    </row>
    <row r="526" spans="1:188">
      <c r="A526" s="147"/>
      <c r="B526" s="147"/>
      <c r="C526" s="51"/>
      <c r="D526" s="52"/>
      <c r="E526" s="47"/>
      <c r="F526" s="47"/>
      <c r="G526" s="47"/>
      <c r="H526" s="47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50"/>
      <c r="AT526" s="50"/>
      <c r="AU526" s="50"/>
      <c r="AV526" s="50"/>
      <c r="AW526" s="50"/>
      <c r="AX526" s="50"/>
      <c r="AY526" s="50"/>
      <c r="AZ526" s="50"/>
      <c r="BA526" s="50"/>
      <c r="BB526" s="50"/>
      <c r="BC526" s="50"/>
      <c r="BD526" s="50"/>
      <c r="BE526" s="50"/>
      <c r="BF526" s="50"/>
      <c r="BG526" s="50"/>
      <c r="BH526" s="50"/>
      <c r="BI526" s="50"/>
      <c r="BJ526" s="50"/>
      <c r="BK526" s="50"/>
      <c r="BL526" s="50"/>
      <c r="BM526" s="50"/>
      <c r="BN526" s="50"/>
      <c r="BO526" s="50"/>
      <c r="BP526" s="50"/>
      <c r="BQ526" s="50"/>
      <c r="BR526" s="50"/>
      <c r="BS526" s="50"/>
      <c r="BT526" s="50"/>
      <c r="BU526" s="50"/>
      <c r="BV526" s="50"/>
      <c r="BW526" s="50"/>
      <c r="BX526" s="50"/>
      <c r="BY526" s="50"/>
      <c r="BZ526" s="50"/>
      <c r="CA526" s="50"/>
      <c r="CB526" s="50"/>
      <c r="CC526" s="50"/>
      <c r="CD526" s="50"/>
      <c r="CE526" s="50"/>
      <c r="CF526" s="50"/>
      <c r="CG526" s="50"/>
      <c r="CH526" s="50"/>
      <c r="CI526" s="50"/>
      <c r="CJ526" s="50"/>
      <c r="CK526" s="50"/>
      <c r="CL526" s="50"/>
      <c r="CM526" s="50"/>
      <c r="CN526" s="50"/>
      <c r="CO526" s="50"/>
      <c r="CP526" s="50"/>
      <c r="CQ526" s="50"/>
      <c r="CR526" s="50"/>
      <c r="CS526" s="50"/>
      <c r="CT526" s="50"/>
      <c r="CU526" s="50"/>
      <c r="CV526" s="50"/>
      <c r="CW526" s="50"/>
      <c r="CX526" s="50"/>
      <c r="CY526" s="50"/>
      <c r="CZ526" s="50"/>
      <c r="DA526" s="50"/>
      <c r="DB526" s="50"/>
      <c r="DC526" s="50"/>
      <c r="DD526" s="50"/>
      <c r="DE526" s="50"/>
      <c r="DF526" s="50"/>
      <c r="DG526" s="50"/>
      <c r="DH526" s="50"/>
      <c r="DI526" s="50"/>
      <c r="DJ526" s="50"/>
      <c r="DK526" s="50"/>
      <c r="DL526" s="50"/>
      <c r="DM526" s="50"/>
      <c r="DN526" s="50"/>
      <c r="DO526" s="50"/>
      <c r="DP526" s="50"/>
      <c r="DQ526" s="50"/>
      <c r="DR526" s="50"/>
      <c r="DS526" s="50"/>
      <c r="DT526" s="50"/>
      <c r="DU526" s="50"/>
      <c r="DV526" s="50"/>
      <c r="DW526" s="50"/>
      <c r="DX526" s="50"/>
      <c r="DY526" s="50"/>
      <c r="DZ526" s="50"/>
      <c r="EA526" s="50"/>
      <c r="EB526" s="50"/>
      <c r="EC526" s="50"/>
      <c r="ED526" s="50"/>
      <c r="EE526" s="50"/>
      <c r="EF526" s="50"/>
      <c r="EG526" s="50"/>
      <c r="EH526" s="50"/>
      <c r="EI526" s="50"/>
      <c r="EJ526" s="50"/>
      <c r="EK526" s="50"/>
      <c r="EL526" s="50"/>
      <c r="EM526" s="50"/>
      <c r="EN526" s="50"/>
      <c r="EO526" s="50"/>
      <c r="EP526" s="50"/>
      <c r="EQ526" s="50"/>
      <c r="ER526" s="50"/>
      <c r="ES526" s="50"/>
      <c r="ET526" s="50"/>
      <c r="EU526" s="50"/>
      <c r="EV526" s="50"/>
      <c r="EW526" s="50"/>
      <c r="EX526" s="50"/>
      <c r="EY526" s="50"/>
      <c r="EZ526" s="50"/>
      <c r="FA526" s="50"/>
      <c r="FB526" s="50"/>
      <c r="FC526" s="50"/>
      <c r="FD526" s="50"/>
      <c r="FE526" s="50"/>
      <c r="FF526" s="50"/>
      <c r="FG526" s="50"/>
      <c r="FH526" s="50"/>
      <c r="FI526" s="50"/>
      <c r="FJ526" s="50"/>
      <c r="FK526" s="50"/>
      <c r="FL526" s="50"/>
      <c r="FM526" s="50"/>
      <c r="FN526" s="50"/>
      <c r="FO526" s="50"/>
      <c r="FP526" s="50"/>
      <c r="FQ526" s="50"/>
      <c r="FR526" s="50"/>
      <c r="FS526" s="50"/>
      <c r="FT526" s="50"/>
      <c r="FU526" s="50"/>
      <c r="FV526" s="50"/>
      <c r="FW526" s="50"/>
      <c r="FX526" s="50"/>
      <c r="FY526" s="50"/>
      <c r="FZ526" s="50"/>
      <c r="GA526" s="50"/>
      <c r="GB526" s="50"/>
      <c r="GC526" s="50"/>
      <c r="GD526" s="50"/>
      <c r="GE526" s="50"/>
      <c r="GF526" s="50"/>
    </row>
    <row r="527" spans="1:188">
      <c r="A527" s="147"/>
      <c r="B527" s="147"/>
      <c r="C527" s="51"/>
      <c r="D527" s="52"/>
      <c r="E527" s="47"/>
      <c r="F527" s="47"/>
      <c r="G527" s="47"/>
      <c r="H527" s="47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  <c r="BL527" s="50"/>
      <c r="BM527" s="50"/>
      <c r="BN527" s="50"/>
      <c r="BO527" s="50"/>
      <c r="BP527" s="50"/>
      <c r="BQ527" s="50"/>
      <c r="BR527" s="50"/>
      <c r="BS527" s="50"/>
      <c r="BT527" s="50"/>
      <c r="BU527" s="50"/>
      <c r="BV527" s="50"/>
      <c r="BW527" s="50"/>
      <c r="BX527" s="50"/>
      <c r="BY527" s="50"/>
      <c r="BZ527" s="50"/>
      <c r="CA527" s="50"/>
      <c r="CB527" s="50"/>
      <c r="CC527" s="50"/>
      <c r="CD527" s="50"/>
      <c r="CE527" s="50"/>
      <c r="CF527" s="50"/>
      <c r="CG527" s="50"/>
      <c r="CH527" s="50"/>
      <c r="CI527" s="50"/>
      <c r="CJ527" s="50"/>
      <c r="CK527" s="50"/>
      <c r="CL527" s="50"/>
      <c r="CM527" s="50"/>
      <c r="CN527" s="50"/>
      <c r="CO527" s="50"/>
      <c r="CP527" s="50"/>
      <c r="CQ527" s="50"/>
      <c r="CR527" s="50"/>
      <c r="CS527" s="50"/>
      <c r="CT527" s="50"/>
      <c r="CU527" s="50"/>
      <c r="CV527" s="50"/>
      <c r="CW527" s="50"/>
      <c r="CX527" s="50"/>
      <c r="CY527" s="50"/>
      <c r="CZ527" s="50"/>
      <c r="DA527" s="50"/>
      <c r="DB527" s="50"/>
      <c r="DC527" s="50"/>
      <c r="DD527" s="50"/>
      <c r="DE527" s="50"/>
      <c r="DF527" s="50"/>
      <c r="DG527" s="50"/>
      <c r="DH527" s="50"/>
      <c r="DI527" s="50"/>
      <c r="DJ527" s="50"/>
      <c r="DK527" s="50"/>
      <c r="DL527" s="50"/>
      <c r="DM527" s="50"/>
      <c r="DN527" s="50"/>
      <c r="DO527" s="50"/>
      <c r="DP527" s="50"/>
      <c r="DQ527" s="50"/>
      <c r="DR527" s="50"/>
      <c r="DS527" s="50"/>
      <c r="DT527" s="50"/>
      <c r="DU527" s="50"/>
      <c r="DV527" s="50"/>
      <c r="DW527" s="50"/>
      <c r="DX527" s="50"/>
      <c r="DY527" s="50"/>
      <c r="DZ527" s="50"/>
      <c r="EA527" s="50"/>
      <c r="EB527" s="50"/>
      <c r="EC527" s="50"/>
      <c r="ED527" s="50"/>
      <c r="EE527" s="50"/>
      <c r="EF527" s="50"/>
      <c r="EG527" s="50"/>
      <c r="EH527" s="50"/>
      <c r="EI527" s="50"/>
      <c r="EJ527" s="50"/>
      <c r="EK527" s="50"/>
      <c r="EL527" s="50"/>
      <c r="EM527" s="50"/>
      <c r="EN527" s="50"/>
      <c r="EO527" s="50"/>
      <c r="EP527" s="50"/>
      <c r="EQ527" s="50"/>
      <c r="ER527" s="50"/>
      <c r="ES527" s="50"/>
      <c r="ET527" s="50"/>
      <c r="EU527" s="50"/>
      <c r="EV527" s="50"/>
      <c r="EW527" s="50"/>
      <c r="EX527" s="50"/>
      <c r="EY527" s="50"/>
      <c r="EZ527" s="50"/>
      <c r="FA527" s="50"/>
      <c r="FB527" s="50"/>
      <c r="FC527" s="50"/>
      <c r="FD527" s="50"/>
      <c r="FE527" s="50"/>
      <c r="FF527" s="50"/>
      <c r="FG527" s="50"/>
      <c r="FH527" s="50"/>
      <c r="FI527" s="50"/>
      <c r="FJ527" s="50"/>
      <c r="FK527" s="50"/>
      <c r="FL527" s="50"/>
      <c r="FM527" s="50"/>
      <c r="FN527" s="50"/>
      <c r="FO527" s="50"/>
      <c r="FP527" s="50"/>
      <c r="FQ527" s="50"/>
      <c r="FR527" s="50"/>
      <c r="FS527" s="50"/>
      <c r="FT527" s="50"/>
      <c r="FU527" s="50"/>
      <c r="FV527" s="50"/>
      <c r="FW527" s="50"/>
      <c r="FX527" s="50"/>
      <c r="FY527" s="50"/>
      <c r="FZ527" s="50"/>
      <c r="GA527" s="50"/>
      <c r="GB527" s="50"/>
      <c r="GC527" s="50"/>
      <c r="GD527" s="50"/>
      <c r="GE527" s="50"/>
      <c r="GF527" s="50"/>
    </row>
    <row r="528" spans="1:188">
      <c r="A528" s="147"/>
      <c r="B528" s="147"/>
      <c r="C528" s="51"/>
      <c r="D528" s="52"/>
      <c r="E528" s="47"/>
      <c r="F528" s="47"/>
      <c r="G528" s="47"/>
      <c r="H528" s="47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  <c r="BM528" s="50"/>
      <c r="BN528" s="50"/>
      <c r="BO528" s="50"/>
      <c r="BP528" s="50"/>
      <c r="BQ528" s="50"/>
      <c r="BR528" s="50"/>
      <c r="BS528" s="50"/>
      <c r="BT528" s="50"/>
      <c r="BU528" s="50"/>
      <c r="BV528" s="50"/>
      <c r="BW528" s="50"/>
      <c r="BX528" s="50"/>
      <c r="BY528" s="50"/>
      <c r="BZ528" s="50"/>
      <c r="CA528" s="50"/>
      <c r="CB528" s="50"/>
      <c r="CC528" s="50"/>
      <c r="CD528" s="50"/>
      <c r="CE528" s="50"/>
      <c r="CF528" s="50"/>
      <c r="CG528" s="50"/>
      <c r="CH528" s="50"/>
      <c r="CI528" s="50"/>
      <c r="CJ528" s="50"/>
      <c r="CK528" s="50"/>
      <c r="CL528" s="50"/>
      <c r="CM528" s="50"/>
      <c r="CN528" s="50"/>
      <c r="CO528" s="50"/>
      <c r="CP528" s="50"/>
      <c r="CQ528" s="50"/>
      <c r="CR528" s="50"/>
      <c r="CS528" s="50"/>
      <c r="CT528" s="50"/>
      <c r="CU528" s="50"/>
      <c r="CV528" s="50"/>
      <c r="CW528" s="50"/>
      <c r="CX528" s="50"/>
      <c r="CY528" s="50"/>
      <c r="CZ528" s="50"/>
      <c r="DA528" s="50"/>
      <c r="DB528" s="50"/>
      <c r="DC528" s="50"/>
      <c r="DD528" s="50"/>
      <c r="DE528" s="50"/>
      <c r="DF528" s="50"/>
      <c r="DG528" s="50"/>
      <c r="DH528" s="50"/>
      <c r="DI528" s="50"/>
      <c r="DJ528" s="50"/>
      <c r="DK528" s="50"/>
      <c r="DL528" s="50"/>
      <c r="DM528" s="50"/>
      <c r="DN528" s="50"/>
      <c r="DO528" s="50"/>
      <c r="DP528" s="50"/>
      <c r="DQ528" s="50"/>
      <c r="DR528" s="50"/>
      <c r="DS528" s="50"/>
      <c r="DT528" s="50"/>
      <c r="DU528" s="50"/>
      <c r="DV528" s="50"/>
      <c r="DW528" s="50"/>
      <c r="DX528" s="50"/>
      <c r="DY528" s="50"/>
      <c r="DZ528" s="50"/>
      <c r="EA528" s="50"/>
      <c r="EB528" s="50"/>
      <c r="EC528" s="50"/>
      <c r="ED528" s="50"/>
      <c r="EE528" s="50"/>
      <c r="EF528" s="50"/>
      <c r="EG528" s="50"/>
      <c r="EH528" s="50"/>
      <c r="EI528" s="50"/>
      <c r="EJ528" s="50"/>
      <c r="EK528" s="50"/>
      <c r="EL528" s="50"/>
      <c r="EM528" s="50"/>
      <c r="EN528" s="50"/>
      <c r="EO528" s="50"/>
      <c r="EP528" s="50"/>
      <c r="EQ528" s="50"/>
      <c r="ER528" s="50"/>
      <c r="ES528" s="50"/>
      <c r="ET528" s="50"/>
      <c r="EU528" s="50"/>
      <c r="EV528" s="50"/>
      <c r="EW528" s="50"/>
      <c r="EX528" s="50"/>
      <c r="EY528" s="50"/>
      <c r="EZ528" s="50"/>
      <c r="FA528" s="50"/>
      <c r="FB528" s="50"/>
      <c r="FC528" s="50"/>
      <c r="FD528" s="50"/>
      <c r="FE528" s="50"/>
      <c r="FF528" s="50"/>
      <c r="FG528" s="50"/>
      <c r="FH528" s="50"/>
      <c r="FI528" s="50"/>
      <c r="FJ528" s="50"/>
      <c r="FK528" s="50"/>
      <c r="FL528" s="50"/>
      <c r="FM528" s="50"/>
      <c r="FN528" s="50"/>
      <c r="FO528" s="50"/>
      <c r="FP528" s="50"/>
      <c r="FQ528" s="50"/>
      <c r="FR528" s="50"/>
      <c r="FS528" s="50"/>
      <c r="FT528" s="50"/>
      <c r="FU528" s="50"/>
      <c r="FV528" s="50"/>
      <c r="FW528" s="50"/>
      <c r="FX528" s="50"/>
      <c r="FY528" s="50"/>
      <c r="FZ528" s="50"/>
      <c r="GA528" s="50"/>
      <c r="GB528" s="50"/>
      <c r="GC528" s="50"/>
      <c r="GD528" s="50"/>
      <c r="GE528" s="50"/>
      <c r="GF528" s="50"/>
    </row>
    <row r="529" spans="1:188">
      <c r="A529" s="147"/>
      <c r="B529" s="147"/>
      <c r="C529" s="51"/>
      <c r="D529" s="52"/>
      <c r="E529" s="47"/>
      <c r="F529" s="47"/>
      <c r="G529" s="47"/>
      <c r="H529" s="47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  <c r="BL529" s="50"/>
      <c r="BM529" s="50"/>
      <c r="BN529" s="50"/>
      <c r="BO529" s="50"/>
      <c r="BP529" s="50"/>
      <c r="BQ529" s="50"/>
      <c r="BR529" s="50"/>
      <c r="BS529" s="50"/>
      <c r="BT529" s="50"/>
      <c r="BU529" s="50"/>
      <c r="BV529" s="50"/>
      <c r="BW529" s="50"/>
      <c r="BX529" s="50"/>
      <c r="BY529" s="50"/>
      <c r="BZ529" s="50"/>
      <c r="CA529" s="50"/>
      <c r="CB529" s="50"/>
      <c r="CC529" s="50"/>
      <c r="CD529" s="50"/>
      <c r="CE529" s="50"/>
      <c r="CF529" s="50"/>
      <c r="CG529" s="50"/>
      <c r="CH529" s="50"/>
      <c r="CI529" s="50"/>
      <c r="CJ529" s="50"/>
      <c r="CK529" s="50"/>
      <c r="CL529" s="50"/>
      <c r="CM529" s="50"/>
      <c r="CN529" s="50"/>
      <c r="CO529" s="50"/>
      <c r="CP529" s="50"/>
      <c r="CQ529" s="50"/>
      <c r="CR529" s="50"/>
      <c r="CS529" s="50"/>
      <c r="CT529" s="50"/>
      <c r="CU529" s="50"/>
      <c r="CV529" s="50"/>
      <c r="CW529" s="50"/>
      <c r="CX529" s="50"/>
      <c r="CY529" s="50"/>
      <c r="CZ529" s="50"/>
      <c r="DA529" s="50"/>
      <c r="DB529" s="50"/>
      <c r="DC529" s="50"/>
      <c r="DD529" s="50"/>
      <c r="DE529" s="50"/>
      <c r="DF529" s="50"/>
      <c r="DG529" s="50"/>
      <c r="DH529" s="50"/>
      <c r="DI529" s="50"/>
      <c r="DJ529" s="50"/>
      <c r="DK529" s="50"/>
      <c r="DL529" s="50"/>
      <c r="DM529" s="50"/>
      <c r="DN529" s="50"/>
      <c r="DO529" s="50"/>
      <c r="DP529" s="50"/>
      <c r="DQ529" s="50"/>
      <c r="DR529" s="50"/>
      <c r="DS529" s="50"/>
      <c r="DT529" s="50"/>
      <c r="DU529" s="50"/>
      <c r="DV529" s="50"/>
      <c r="DW529" s="50"/>
      <c r="DX529" s="50"/>
      <c r="DY529" s="50"/>
      <c r="DZ529" s="50"/>
      <c r="EA529" s="50"/>
      <c r="EB529" s="50"/>
      <c r="EC529" s="50"/>
      <c r="ED529" s="50"/>
      <c r="EE529" s="50"/>
      <c r="EF529" s="50"/>
      <c r="EG529" s="50"/>
      <c r="EH529" s="50"/>
      <c r="EI529" s="50"/>
      <c r="EJ529" s="50"/>
      <c r="EK529" s="50"/>
      <c r="EL529" s="50"/>
      <c r="EM529" s="50"/>
      <c r="EN529" s="50"/>
      <c r="EO529" s="50"/>
      <c r="EP529" s="50"/>
      <c r="EQ529" s="50"/>
      <c r="ER529" s="50"/>
      <c r="ES529" s="50"/>
      <c r="ET529" s="50"/>
      <c r="EU529" s="50"/>
      <c r="EV529" s="50"/>
      <c r="EW529" s="50"/>
      <c r="EX529" s="50"/>
      <c r="EY529" s="50"/>
      <c r="EZ529" s="50"/>
      <c r="FA529" s="50"/>
      <c r="FB529" s="50"/>
      <c r="FC529" s="50"/>
      <c r="FD529" s="50"/>
      <c r="FE529" s="50"/>
      <c r="FF529" s="50"/>
      <c r="FG529" s="50"/>
      <c r="FH529" s="50"/>
      <c r="FI529" s="50"/>
      <c r="FJ529" s="50"/>
      <c r="FK529" s="50"/>
      <c r="FL529" s="50"/>
      <c r="FM529" s="50"/>
      <c r="FN529" s="50"/>
      <c r="FO529" s="50"/>
      <c r="FP529" s="50"/>
      <c r="FQ529" s="50"/>
      <c r="FR529" s="50"/>
      <c r="FS529" s="50"/>
      <c r="FT529" s="50"/>
      <c r="FU529" s="50"/>
      <c r="FV529" s="50"/>
      <c r="FW529" s="50"/>
      <c r="FX529" s="50"/>
      <c r="FY529" s="50"/>
      <c r="FZ529" s="50"/>
      <c r="GA529" s="50"/>
      <c r="GB529" s="50"/>
      <c r="GC529" s="50"/>
      <c r="GD529" s="50"/>
      <c r="GE529" s="50"/>
      <c r="GF529" s="50"/>
    </row>
    <row r="530" spans="1:188">
      <c r="A530" s="147"/>
      <c r="B530" s="147"/>
      <c r="C530" s="51"/>
      <c r="D530" s="52"/>
      <c r="E530" s="47"/>
      <c r="F530" s="47"/>
      <c r="G530" s="47"/>
      <c r="H530" s="47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50"/>
      <c r="AT530" s="50"/>
      <c r="AU530" s="50"/>
      <c r="AV530" s="50"/>
      <c r="AW530" s="50"/>
      <c r="AX530" s="50"/>
      <c r="AY530" s="50"/>
      <c r="AZ530" s="50"/>
      <c r="BA530" s="50"/>
      <c r="BB530" s="50"/>
      <c r="BC530" s="50"/>
      <c r="BD530" s="50"/>
      <c r="BE530" s="50"/>
      <c r="BF530" s="50"/>
      <c r="BG530" s="50"/>
      <c r="BH530" s="50"/>
      <c r="BI530" s="50"/>
      <c r="BJ530" s="50"/>
      <c r="BK530" s="50"/>
      <c r="BL530" s="50"/>
      <c r="BM530" s="50"/>
      <c r="BN530" s="50"/>
      <c r="BO530" s="50"/>
      <c r="BP530" s="50"/>
      <c r="BQ530" s="50"/>
      <c r="BR530" s="50"/>
      <c r="BS530" s="50"/>
      <c r="BT530" s="50"/>
      <c r="BU530" s="50"/>
      <c r="BV530" s="50"/>
      <c r="BW530" s="50"/>
      <c r="BX530" s="50"/>
      <c r="BY530" s="50"/>
      <c r="BZ530" s="50"/>
      <c r="CA530" s="50"/>
      <c r="CB530" s="50"/>
      <c r="CC530" s="50"/>
      <c r="CD530" s="50"/>
      <c r="CE530" s="50"/>
      <c r="CF530" s="50"/>
      <c r="CG530" s="50"/>
      <c r="CH530" s="50"/>
      <c r="CI530" s="50"/>
      <c r="CJ530" s="50"/>
      <c r="CK530" s="50"/>
      <c r="CL530" s="50"/>
      <c r="CM530" s="50"/>
      <c r="CN530" s="50"/>
      <c r="CO530" s="50"/>
      <c r="CP530" s="50"/>
      <c r="CQ530" s="50"/>
      <c r="CR530" s="50"/>
      <c r="CS530" s="50"/>
      <c r="CT530" s="50"/>
      <c r="CU530" s="50"/>
      <c r="CV530" s="50"/>
      <c r="CW530" s="50"/>
      <c r="CX530" s="50"/>
      <c r="CY530" s="50"/>
      <c r="CZ530" s="50"/>
      <c r="DA530" s="50"/>
      <c r="DB530" s="50"/>
      <c r="DC530" s="50"/>
      <c r="DD530" s="50"/>
      <c r="DE530" s="50"/>
      <c r="DF530" s="50"/>
      <c r="DG530" s="50"/>
      <c r="DH530" s="50"/>
      <c r="DI530" s="50"/>
      <c r="DJ530" s="50"/>
      <c r="DK530" s="50"/>
      <c r="DL530" s="50"/>
      <c r="DM530" s="50"/>
      <c r="DN530" s="50"/>
      <c r="DO530" s="50"/>
      <c r="DP530" s="50"/>
      <c r="DQ530" s="50"/>
      <c r="DR530" s="50"/>
      <c r="DS530" s="50"/>
      <c r="DT530" s="50"/>
      <c r="DU530" s="50"/>
      <c r="DV530" s="50"/>
      <c r="DW530" s="50"/>
      <c r="DX530" s="50"/>
      <c r="DY530" s="50"/>
      <c r="DZ530" s="50"/>
      <c r="EA530" s="50"/>
      <c r="EB530" s="50"/>
      <c r="EC530" s="50"/>
      <c r="ED530" s="50"/>
      <c r="EE530" s="50"/>
      <c r="EF530" s="50"/>
      <c r="EG530" s="50"/>
      <c r="EH530" s="50"/>
      <c r="EI530" s="50"/>
      <c r="EJ530" s="50"/>
      <c r="EK530" s="50"/>
      <c r="EL530" s="50"/>
      <c r="EM530" s="50"/>
      <c r="EN530" s="50"/>
      <c r="EO530" s="50"/>
      <c r="EP530" s="50"/>
      <c r="EQ530" s="50"/>
      <c r="ER530" s="50"/>
      <c r="ES530" s="50"/>
      <c r="ET530" s="50"/>
      <c r="EU530" s="50"/>
      <c r="EV530" s="50"/>
      <c r="EW530" s="50"/>
      <c r="EX530" s="50"/>
      <c r="EY530" s="50"/>
      <c r="EZ530" s="50"/>
      <c r="FA530" s="50"/>
      <c r="FB530" s="50"/>
      <c r="FC530" s="50"/>
      <c r="FD530" s="50"/>
      <c r="FE530" s="50"/>
      <c r="FF530" s="50"/>
      <c r="FG530" s="50"/>
      <c r="FH530" s="50"/>
      <c r="FI530" s="50"/>
      <c r="FJ530" s="50"/>
      <c r="FK530" s="50"/>
      <c r="FL530" s="50"/>
      <c r="FM530" s="50"/>
      <c r="FN530" s="50"/>
      <c r="FO530" s="50"/>
      <c r="FP530" s="50"/>
      <c r="FQ530" s="50"/>
      <c r="FR530" s="50"/>
      <c r="FS530" s="50"/>
      <c r="FT530" s="50"/>
      <c r="FU530" s="50"/>
      <c r="FV530" s="50"/>
      <c r="FW530" s="50"/>
      <c r="FX530" s="50"/>
      <c r="FY530" s="50"/>
      <c r="FZ530" s="50"/>
      <c r="GA530" s="50"/>
      <c r="GB530" s="50"/>
      <c r="GC530" s="50"/>
      <c r="GD530" s="50"/>
      <c r="GE530" s="50"/>
      <c r="GF530" s="50"/>
    </row>
    <row r="531" spans="1:188">
      <c r="A531" s="147"/>
      <c r="B531" s="147"/>
      <c r="C531" s="51"/>
      <c r="D531" s="52"/>
      <c r="E531" s="47"/>
      <c r="F531" s="47"/>
      <c r="G531" s="47"/>
      <c r="H531" s="47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  <c r="BL531" s="50"/>
      <c r="BM531" s="50"/>
      <c r="BN531" s="50"/>
      <c r="BO531" s="50"/>
      <c r="BP531" s="50"/>
      <c r="BQ531" s="50"/>
      <c r="BR531" s="50"/>
      <c r="BS531" s="50"/>
      <c r="BT531" s="50"/>
      <c r="BU531" s="50"/>
      <c r="BV531" s="50"/>
      <c r="BW531" s="50"/>
      <c r="BX531" s="50"/>
      <c r="BY531" s="50"/>
      <c r="BZ531" s="50"/>
      <c r="CA531" s="50"/>
      <c r="CB531" s="50"/>
      <c r="CC531" s="50"/>
      <c r="CD531" s="50"/>
      <c r="CE531" s="50"/>
      <c r="CF531" s="50"/>
      <c r="CG531" s="50"/>
      <c r="CH531" s="50"/>
      <c r="CI531" s="50"/>
      <c r="CJ531" s="50"/>
      <c r="CK531" s="50"/>
      <c r="CL531" s="50"/>
      <c r="CM531" s="50"/>
      <c r="CN531" s="50"/>
      <c r="CO531" s="50"/>
      <c r="CP531" s="50"/>
      <c r="CQ531" s="50"/>
      <c r="CR531" s="50"/>
      <c r="CS531" s="50"/>
      <c r="CT531" s="50"/>
      <c r="CU531" s="50"/>
      <c r="CV531" s="50"/>
      <c r="CW531" s="50"/>
      <c r="CX531" s="50"/>
      <c r="CY531" s="50"/>
      <c r="CZ531" s="50"/>
      <c r="DA531" s="50"/>
      <c r="DB531" s="50"/>
      <c r="DC531" s="50"/>
      <c r="DD531" s="50"/>
      <c r="DE531" s="50"/>
      <c r="DF531" s="50"/>
      <c r="DG531" s="50"/>
      <c r="DH531" s="50"/>
      <c r="DI531" s="50"/>
      <c r="DJ531" s="50"/>
      <c r="DK531" s="50"/>
      <c r="DL531" s="50"/>
      <c r="DM531" s="50"/>
      <c r="DN531" s="50"/>
      <c r="DO531" s="50"/>
      <c r="DP531" s="50"/>
      <c r="DQ531" s="50"/>
      <c r="DR531" s="50"/>
      <c r="DS531" s="50"/>
      <c r="DT531" s="50"/>
      <c r="DU531" s="50"/>
      <c r="DV531" s="50"/>
      <c r="DW531" s="50"/>
      <c r="DX531" s="50"/>
      <c r="DY531" s="50"/>
      <c r="DZ531" s="50"/>
      <c r="EA531" s="50"/>
      <c r="EB531" s="50"/>
      <c r="EC531" s="50"/>
      <c r="ED531" s="50"/>
      <c r="EE531" s="50"/>
      <c r="EF531" s="50"/>
      <c r="EG531" s="50"/>
      <c r="EH531" s="50"/>
      <c r="EI531" s="50"/>
      <c r="EJ531" s="50"/>
      <c r="EK531" s="50"/>
      <c r="EL531" s="50"/>
      <c r="EM531" s="50"/>
      <c r="EN531" s="50"/>
      <c r="EO531" s="50"/>
      <c r="EP531" s="50"/>
      <c r="EQ531" s="50"/>
      <c r="ER531" s="50"/>
      <c r="ES531" s="50"/>
      <c r="ET531" s="50"/>
      <c r="EU531" s="50"/>
      <c r="EV531" s="50"/>
      <c r="EW531" s="50"/>
      <c r="EX531" s="50"/>
      <c r="EY531" s="50"/>
      <c r="EZ531" s="50"/>
      <c r="FA531" s="50"/>
      <c r="FB531" s="50"/>
      <c r="FC531" s="50"/>
      <c r="FD531" s="50"/>
      <c r="FE531" s="50"/>
      <c r="FF531" s="50"/>
      <c r="FG531" s="50"/>
      <c r="FH531" s="50"/>
      <c r="FI531" s="50"/>
      <c r="FJ531" s="50"/>
      <c r="FK531" s="50"/>
      <c r="FL531" s="50"/>
      <c r="FM531" s="50"/>
      <c r="FN531" s="50"/>
      <c r="FO531" s="50"/>
      <c r="FP531" s="50"/>
      <c r="FQ531" s="50"/>
      <c r="FR531" s="50"/>
      <c r="FS531" s="50"/>
      <c r="FT531" s="50"/>
      <c r="FU531" s="50"/>
      <c r="FV531" s="50"/>
      <c r="FW531" s="50"/>
      <c r="FX531" s="50"/>
      <c r="FY531" s="50"/>
      <c r="FZ531" s="50"/>
      <c r="GA531" s="50"/>
      <c r="GB531" s="50"/>
      <c r="GC531" s="50"/>
      <c r="GD531" s="50"/>
      <c r="GE531" s="50"/>
      <c r="GF531" s="50"/>
    </row>
    <row r="532" spans="1:188">
      <c r="A532" s="147"/>
      <c r="B532" s="147"/>
      <c r="C532" s="51"/>
      <c r="D532" s="52"/>
      <c r="E532" s="47"/>
      <c r="F532" s="47"/>
      <c r="G532" s="47"/>
      <c r="H532" s="47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50"/>
      <c r="AW532" s="50"/>
      <c r="AX532" s="50"/>
      <c r="AY532" s="50"/>
      <c r="AZ532" s="50"/>
      <c r="BA532" s="50"/>
      <c r="BB532" s="50"/>
      <c r="BC532" s="50"/>
      <c r="BD532" s="50"/>
      <c r="BE532" s="50"/>
      <c r="BF532" s="50"/>
      <c r="BG532" s="50"/>
      <c r="BH532" s="50"/>
      <c r="BI532" s="50"/>
      <c r="BJ532" s="50"/>
      <c r="BK532" s="50"/>
      <c r="BL532" s="50"/>
      <c r="BM532" s="50"/>
      <c r="BN532" s="50"/>
      <c r="BO532" s="50"/>
      <c r="BP532" s="50"/>
      <c r="BQ532" s="50"/>
      <c r="BR532" s="50"/>
      <c r="BS532" s="50"/>
      <c r="BT532" s="50"/>
      <c r="BU532" s="50"/>
      <c r="BV532" s="50"/>
      <c r="BW532" s="50"/>
      <c r="BX532" s="50"/>
      <c r="BY532" s="50"/>
      <c r="BZ532" s="50"/>
      <c r="CA532" s="50"/>
      <c r="CB532" s="50"/>
      <c r="CC532" s="50"/>
      <c r="CD532" s="50"/>
      <c r="CE532" s="50"/>
      <c r="CF532" s="50"/>
      <c r="CG532" s="50"/>
      <c r="CH532" s="50"/>
      <c r="CI532" s="50"/>
      <c r="CJ532" s="50"/>
      <c r="CK532" s="50"/>
      <c r="CL532" s="50"/>
      <c r="CM532" s="50"/>
      <c r="CN532" s="50"/>
      <c r="CO532" s="50"/>
      <c r="CP532" s="50"/>
      <c r="CQ532" s="50"/>
      <c r="CR532" s="50"/>
      <c r="CS532" s="50"/>
      <c r="CT532" s="50"/>
      <c r="CU532" s="50"/>
      <c r="CV532" s="50"/>
      <c r="CW532" s="50"/>
      <c r="CX532" s="50"/>
      <c r="CY532" s="50"/>
      <c r="CZ532" s="50"/>
      <c r="DA532" s="50"/>
      <c r="DB532" s="50"/>
      <c r="DC532" s="50"/>
      <c r="DD532" s="50"/>
      <c r="DE532" s="50"/>
      <c r="DF532" s="50"/>
      <c r="DG532" s="50"/>
      <c r="DH532" s="50"/>
      <c r="DI532" s="50"/>
      <c r="DJ532" s="50"/>
      <c r="DK532" s="50"/>
      <c r="DL532" s="50"/>
      <c r="DM532" s="50"/>
      <c r="DN532" s="50"/>
      <c r="DO532" s="50"/>
      <c r="DP532" s="50"/>
      <c r="DQ532" s="50"/>
      <c r="DR532" s="50"/>
      <c r="DS532" s="50"/>
      <c r="DT532" s="50"/>
      <c r="DU532" s="50"/>
      <c r="DV532" s="50"/>
      <c r="DW532" s="50"/>
      <c r="DX532" s="50"/>
      <c r="DY532" s="50"/>
      <c r="DZ532" s="50"/>
      <c r="EA532" s="50"/>
      <c r="EB532" s="50"/>
      <c r="EC532" s="50"/>
      <c r="ED532" s="50"/>
      <c r="EE532" s="50"/>
      <c r="EF532" s="50"/>
      <c r="EG532" s="50"/>
      <c r="EH532" s="50"/>
      <c r="EI532" s="50"/>
      <c r="EJ532" s="50"/>
      <c r="EK532" s="50"/>
      <c r="EL532" s="50"/>
      <c r="EM532" s="50"/>
      <c r="EN532" s="50"/>
      <c r="EO532" s="50"/>
      <c r="EP532" s="50"/>
      <c r="EQ532" s="50"/>
      <c r="ER532" s="50"/>
      <c r="ES532" s="50"/>
      <c r="ET532" s="50"/>
      <c r="EU532" s="50"/>
      <c r="EV532" s="50"/>
      <c r="EW532" s="50"/>
      <c r="EX532" s="50"/>
      <c r="EY532" s="50"/>
      <c r="EZ532" s="50"/>
      <c r="FA532" s="50"/>
      <c r="FB532" s="50"/>
      <c r="FC532" s="50"/>
      <c r="FD532" s="50"/>
      <c r="FE532" s="50"/>
      <c r="FF532" s="50"/>
      <c r="FG532" s="50"/>
      <c r="FH532" s="50"/>
      <c r="FI532" s="50"/>
      <c r="FJ532" s="50"/>
      <c r="FK532" s="50"/>
      <c r="FL532" s="50"/>
      <c r="FM532" s="50"/>
      <c r="FN532" s="50"/>
      <c r="FO532" s="50"/>
      <c r="FP532" s="50"/>
      <c r="FQ532" s="50"/>
      <c r="FR532" s="50"/>
      <c r="FS532" s="50"/>
      <c r="FT532" s="50"/>
      <c r="FU532" s="50"/>
      <c r="FV532" s="50"/>
      <c r="FW532" s="50"/>
      <c r="FX532" s="50"/>
      <c r="FY532" s="50"/>
      <c r="FZ532" s="50"/>
      <c r="GA532" s="50"/>
      <c r="GB532" s="50"/>
      <c r="GC532" s="50"/>
      <c r="GD532" s="50"/>
      <c r="GE532" s="50"/>
      <c r="GF532" s="50"/>
    </row>
    <row r="533" spans="1:188">
      <c r="A533" s="147"/>
      <c r="B533" s="147"/>
      <c r="C533" s="51"/>
      <c r="D533" s="52"/>
      <c r="E533" s="47"/>
      <c r="F533" s="47"/>
      <c r="G533" s="47"/>
      <c r="H533" s="47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50"/>
      <c r="AW533" s="50"/>
      <c r="AX533" s="50"/>
      <c r="AY533" s="50"/>
      <c r="AZ533" s="50"/>
      <c r="BA533" s="50"/>
      <c r="BB533" s="50"/>
      <c r="BC533" s="50"/>
      <c r="BD533" s="50"/>
      <c r="BE533" s="50"/>
      <c r="BF533" s="50"/>
      <c r="BG533" s="50"/>
      <c r="BH533" s="50"/>
      <c r="BI533" s="50"/>
      <c r="BJ533" s="50"/>
      <c r="BK533" s="50"/>
      <c r="BL533" s="50"/>
      <c r="BM533" s="50"/>
      <c r="BN533" s="50"/>
      <c r="BO533" s="50"/>
      <c r="BP533" s="50"/>
      <c r="BQ533" s="50"/>
      <c r="BR533" s="50"/>
      <c r="BS533" s="50"/>
      <c r="BT533" s="50"/>
      <c r="BU533" s="50"/>
      <c r="BV533" s="50"/>
      <c r="BW533" s="50"/>
      <c r="BX533" s="50"/>
      <c r="BY533" s="50"/>
      <c r="BZ533" s="50"/>
      <c r="CA533" s="50"/>
      <c r="CB533" s="50"/>
      <c r="CC533" s="50"/>
      <c r="CD533" s="50"/>
      <c r="CE533" s="50"/>
      <c r="CF533" s="50"/>
      <c r="CG533" s="50"/>
      <c r="CH533" s="50"/>
      <c r="CI533" s="50"/>
      <c r="CJ533" s="50"/>
      <c r="CK533" s="50"/>
      <c r="CL533" s="50"/>
      <c r="CM533" s="50"/>
      <c r="CN533" s="50"/>
      <c r="CO533" s="50"/>
      <c r="CP533" s="50"/>
      <c r="CQ533" s="50"/>
      <c r="CR533" s="50"/>
      <c r="CS533" s="50"/>
      <c r="CT533" s="50"/>
      <c r="CU533" s="50"/>
      <c r="CV533" s="50"/>
      <c r="CW533" s="50"/>
      <c r="CX533" s="50"/>
      <c r="CY533" s="50"/>
      <c r="CZ533" s="50"/>
      <c r="DA533" s="50"/>
      <c r="DB533" s="50"/>
      <c r="DC533" s="50"/>
      <c r="DD533" s="50"/>
      <c r="DE533" s="50"/>
      <c r="DF533" s="50"/>
      <c r="DG533" s="50"/>
      <c r="DH533" s="50"/>
      <c r="DI533" s="50"/>
      <c r="DJ533" s="50"/>
      <c r="DK533" s="50"/>
      <c r="DL533" s="50"/>
      <c r="DM533" s="50"/>
      <c r="DN533" s="50"/>
      <c r="DO533" s="50"/>
      <c r="DP533" s="50"/>
      <c r="DQ533" s="50"/>
      <c r="DR533" s="50"/>
      <c r="DS533" s="50"/>
      <c r="DT533" s="50"/>
      <c r="DU533" s="50"/>
      <c r="DV533" s="50"/>
      <c r="DW533" s="50"/>
      <c r="DX533" s="50"/>
      <c r="DY533" s="50"/>
      <c r="DZ533" s="50"/>
      <c r="EA533" s="50"/>
      <c r="EB533" s="50"/>
      <c r="EC533" s="50"/>
      <c r="ED533" s="50"/>
      <c r="EE533" s="50"/>
      <c r="EF533" s="50"/>
      <c r="EG533" s="50"/>
      <c r="EH533" s="50"/>
      <c r="EI533" s="50"/>
      <c r="EJ533" s="50"/>
      <c r="EK533" s="50"/>
      <c r="EL533" s="50"/>
      <c r="EM533" s="50"/>
      <c r="EN533" s="50"/>
      <c r="EO533" s="50"/>
      <c r="EP533" s="50"/>
      <c r="EQ533" s="50"/>
      <c r="ER533" s="50"/>
      <c r="ES533" s="50"/>
      <c r="ET533" s="50"/>
      <c r="EU533" s="50"/>
      <c r="EV533" s="50"/>
      <c r="EW533" s="50"/>
      <c r="EX533" s="50"/>
      <c r="EY533" s="50"/>
      <c r="EZ533" s="50"/>
      <c r="FA533" s="50"/>
      <c r="FB533" s="50"/>
      <c r="FC533" s="50"/>
      <c r="FD533" s="50"/>
      <c r="FE533" s="50"/>
      <c r="FF533" s="50"/>
      <c r="FG533" s="50"/>
      <c r="FH533" s="50"/>
      <c r="FI533" s="50"/>
      <c r="FJ533" s="50"/>
      <c r="FK533" s="50"/>
      <c r="FL533" s="50"/>
      <c r="FM533" s="50"/>
      <c r="FN533" s="50"/>
      <c r="FO533" s="50"/>
      <c r="FP533" s="50"/>
      <c r="FQ533" s="50"/>
      <c r="FR533" s="50"/>
      <c r="FS533" s="50"/>
      <c r="FT533" s="50"/>
      <c r="FU533" s="50"/>
      <c r="FV533" s="50"/>
      <c r="FW533" s="50"/>
      <c r="FX533" s="50"/>
      <c r="FY533" s="50"/>
      <c r="FZ533" s="50"/>
      <c r="GA533" s="50"/>
      <c r="GB533" s="50"/>
      <c r="GC533" s="50"/>
      <c r="GD533" s="50"/>
      <c r="GE533" s="50"/>
      <c r="GF533" s="50"/>
    </row>
    <row r="534" spans="1:188">
      <c r="A534" s="147"/>
      <c r="B534" s="147"/>
      <c r="C534" s="51"/>
      <c r="D534" s="52"/>
      <c r="E534" s="47"/>
      <c r="F534" s="47"/>
      <c r="G534" s="47"/>
      <c r="H534" s="47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50"/>
      <c r="AW534" s="50"/>
      <c r="AX534" s="50"/>
      <c r="AY534" s="50"/>
      <c r="AZ534" s="50"/>
      <c r="BA534" s="50"/>
      <c r="BB534" s="50"/>
      <c r="BC534" s="50"/>
      <c r="BD534" s="50"/>
      <c r="BE534" s="50"/>
      <c r="BF534" s="50"/>
      <c r="BG534" s="50"/>
      <c r="BH534" s="50"/>
      <c r="BI534" s="50"/>
      <c r="BJ534" s="50"/>
      <c r="BK534" s="50"/>
      <c r="BL534" s="50"/>
      <c r="BM534" s="50"/>
      <c r="BN534" s="50"/>
      <c r="BO534" s="50"/>
      <c r="BP534" s="50"/>
      <c r="BQ534" s="50"/>
      <c r="BR534" s="50"/>
      <c r="BS534" s="50"/>
      <c r="BT534" s="50"/>
      <c r="BU534" s="50"/>
      <c r="BV534" s="50"/>
      <c r="BW534" s="50"/>
      <c r="BX534" s="50"/>
      <c r="BY534" s="50"/>
      <c r="BZ534" s="50"/>
      <c r="CA534" s="50"/>
      <c r="CB534" s="50"/>
      <c r="CC534" s="50"/>
      <c r="CD534" s="50"/>
      <c r="CE534" s="50"/>
      <c r="CF534" s="50"/>
      <c r="CG534" s="50"/>
      <c r="CH534" s="50"/>
      <c r="CI534" s="50"/>
      <c r="CJ534" s="50"/>
      <c r="CK534" s="50"/>
      <c r="CL534" s="50"/>
      <c r="CM534" s="50"/>
      <c r="CN534" s="50"/>
      <c r="CO534" s="50"/>
      <c r="CP534" s="50"/>
      <c r="CQ534" s="50"/>
      <c r="CR534" s="50"/>
      <c r="CS534" s="50"/>
      <c r="CT534" s="50"/>
      <c r="CU534" s="50"/>
      <c r="CV534" s="50"/>
      <c r="CW534" s="50"/>
      <c r="CX534" s="50"/>
      <c r="CY534" s="50"/>
      <c r="CZ534" s="50"/>
      <c r="DA534" s="50"/>
      <c r="DB534" s="50"/>
      <c r="DC534" s="50"/>
      <c r="DD534" s="50"/>
      <c r="DE534" s="50"/>
      <c r="DF534" s="50"/>
      <c r="DG534" s="50"/>
      <c r="DH534" s="50"/>
      <c r="DI534" s="50"/>
      <c r="DJ534" s="50"/>
      <c r="DK534" s="50"/>
      <c r="DL534" s="50"/>
      <c r="DM534" s="50"/>
      <c r="DN534" s="50"/>
      <c r="DO534" s="50"/>
      <c r="DP534" s="50"/>
      <c r="DQ534" s="50"/>
      <c r="DR534" s="50"/>
      <c r="DS534" s="50"/>
      <c r="DT534" s="50"/>
      <c r="DU534" s="50"/>
      <c r="DV534" s="50"/>
      <c r="DW534" s="50"/>
      <c r="DX534" s="50"/>
      <c r="DY534" s="50"/>
      <c r="DZ534" s="50"/>
      <c r="EA534" s="50"/>
      <c r="EB534" s="50"/>
      <c r="EC534" s="50"/>
      <c r="ED534" s="50"/>
      <c r="EE534" s="50"/>
      <c r="EF534" s="50"/>
      <c r="EG534" s="50"/>
      <c r="EH534" s="50"/>
      <c r="EI534" s="50"/>
      <c r="EJ534" s="50"/>
      <c r="EK534" s="50"/>
      <c r="EL534" s="50"/>
      <c r="EM534" s="50"/>
      <c r="EN534" s="50"/>
      <c r="EO534" s="50"/>
      <c r="EP534" s="50"/>
      <c r="EQ534" s="50"/>
      <c r="ER534" s="50"/>
      <c r="ES534" s="50"/>
      <c r="ET534" s="50"/>
      <c r="EU534" s="50"/>
      <c r="EV534" s="50"/>
      <c r="EW534" s="50"/>
      <c r="EX534" s="50"/>
      <c r="EY534" s="50"/>
      <c r="EZ534" s="50"/>
      <c r="FA534" s="50"/>
      <c r="FB534" s="50"/>
      <c r="FC534" s="50"/>
      <c r="FD534" s="50"/>
      <c r="FE534" s="50"/>
      <c r="FF534" s="50"/>
      <c r="FG534" s="50"/>
      <c r="FH534" s="50"/>
      <c r="FI534" s="50"/>
      <c r="FJ534" s="50"/>
      <c r="FK534" s="50"/>
      <c r="FL534" s="50"/>
      <c r="FM534" s="50"/>
      <c r="FN534" s="50"/>
      <c r="FO534" s="50"/>
      <c r="FP534" s="50"/>
      <c r="FQ534" s="50"/>
      <c r="FR534" s="50"/>
      <c r="FS534" s="50"/>
      <c r="FT534" s="50"/>
      <c r="FU534" s="50"/>
      <c r="FV534" s="50"/>
      <c r="FW534" s="50"/>
      <c r="FX534" s="50"/>
      <c r="FY534" s="50"/>
      <c r="FZ534" s="50"/>
      <c r="GA534" s="50"/>
      <c r="GB534" s="50"/>
      <c r="GC534" s="50"/>
      <c r="GD534" s="50"/>
      <c r="GE534" s="50"/>
      <c r="GF534" s="50"/>
    </row>
    <row r="535" spans="1:188">
      <c r="A535" s="147"/>
      <c r="B535" s="147"/>
      <c r="C535" s="51"/>
      <c r="D535" s="52"/>
      <c r="E535" s="47"/>
      <c r="F535" s="47"/>
      <c r="G535" s="47"/>
      <c r="H535" s="47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50"/>
      <c r="AV535" s="50"/>
      <c r="AW535" s="50"/>
      <c r="AX535" s="50"/>
      <c r="AY535" s="50"/>
      <c r="AZ535" s="50"/>
      <c r="BA535" s="50"/>
      <c r="BB535" s="50"/>
      <c r="BC535" s="50"/>
      <c r="BD535" s="50"/>
      <c r="BE535" s="50"/>
      <c r="BF535" s="50"/>
      <c r="BG535" s="50"/>
      <c r="BH535" s="50"/>
      <c r="BI535" s="50"/>
      <c r="BJ535" s="50"/>
      <c r="BK535" s="50"/>
      <c r="BL535" s="50"/>
      <c r="BM535" s="50"/>
      <c r="BN535" s="50"/>
      <c r="BO535" s="50"/>
      <c r="BP535" s="50"/>
      <c r="BQ535" s="50"/>
      <c r="BR535" s="50"/>
      <c r="BS535" s="50"/>
      <c r="BT535" s="50"/>
      <c r="BU535" s="50"/>
      <c r="BV535" s="50"/>
      <c r="BW535" s="50"/>
      <c r="BX535" s="50"/>
      <c r="BY535" s="50"/>
      <c r="BZ535" s="50"/>
      <c r="CA535" s="50"/>
      <c r="CB535" s="50"/>
      <c r="CC535" s="50"/>
      <c r="CD535" s="50"/>
      <c r="CE535" s="50"/>
      <c r="CF535" s="50"/>
      <c r="CG535" s="50"/>
      <c r="CH535" s="50"/>
      <c r="CI535" s="50"/>
      <c r="CJ535" s="50"/>
      <c r="CK535" s="50"/>
      <c r="CL535" s="50"/>
      <c r="CM535" s="50"/>
      <c r="CN535" s="50"/>
      <c r="CO535" s="50"/>
      <c r="CP535" s="50"/>
      <c r="CQ535" s="50"/>
      <c r="CR535" s="50"/>
      <c r="CS535" s="50"/>
      <c r="CT535" s="50"/>
      <c r="CU535" s="50"/>
      <c r="CV535" s="50"/>
      <c r="CW535" s="50"/>
      <c r="CX535" s="50"/>
      <c r="CY535" s="50"/>
      <c r="CZ535" s="50"/>
      <c r="DA535" s="50"/>
      <c r="DB535" s="50"/>
      <c r="DC535" s="50"/>
      <c r="DD535" s="50"/>
      <c r="DE535" s="50"/>
      <c r="DF535" s="50"/>
      <c r="DG535" s="50"/>
      <c r="DH535" s="50"/>
      <c r="DI535" s="50"/>
      <c r="DJ535" s="50"/>
      <c r="DK535" s="50"/>
      <c r="DL535" s="50"/>
      <c r="DM535" s="50"/>
      <c r="DN535" s="50"/>
      <c r="DO535" s="50"/>
      <c r="DP535" s="50"/>
      <c r="DQ535" s="50"/>
      <c r="DR535" s="50"/>
      <c r="DS535" s="50"/>
      <c r="DT535" s="50"/>
      <c r="DU535" s="50"/>
      <c r="DV535" s="50"/>
      <c r="DW535" s="50"/>
      <c r="DX535" s="50"/>
      <c r="DY535" s="50"/>
      <c r="DZ535" s="50"/>
      <c r="EA535" s="50"/>
      <c r="EB535" s="50"/>
      <c r="EC535" s="50"/>
      <c r="ED535" s="50"/>
      <c r="EE535" s="50"/>
      <c r="EF535" s="50"/>
      <c r="EG535" s="50"/>
      <c r="EH535" s="50"/>
      <c r="EI535" s="50"/>
      <c r="EJ535" s="50"/>
      <c r="EK535" s="50"/>
      <c r="EL535" s="50"/>
      <c r="EM535" s="50"/>
      <c r="EN535" s="50"/>
      <c r="EO535" s="50"/>
      <c r="EP535" s="50"/>
      <c r="EQ535" s="50"/>
      <c r="ER535" s="50"/>
      <c r="ES535" s="50"/>
      <c r="ET535" s="50"/>
      <c r="EU535" s="50"/>
      <c r="EV535" s="50"/>
      <c r="EW535" s="50"/>
      <c r="EX535" s="50"/>
      <c r="EY535" s="50"/>
      <c r="EZ535" s="50"/>
      <c r="FA535" s="50"/>
      <c r="FB535" s="50"/>
      <c r="FC535" s="50"/>
      <c r="FD535" s="50"/>
      <c r="FE535" s="50"/>
      <c r="FF535" s="50"/>
      <c r="FG535" s="50"/>
      <c r="FH535" s="50"/>
      <c r="FI535" s="50"/>
      <c r="FJ535" s="50"/>
      <c r="FK535" s="50"/>
      <c r="FL535" s="50"/>
      <c r="FM535" s="50"/>
      <c r="FN535" s="50"/>
      <c r="FO535" s="50"/>
      <c r="FP535" s="50"/>
      <c r="FQ535" s="50"/>
      <c r="FR535" s="50"/>
      <c r="FS535" s="50"/>
      <c r="FT535" s="50"/>
      <c r="FU535" s="50"/>
      <c r="FV535" s="50"/>
      <c r="FW535" s="50"/>
      <c r="FX535" s="50"/>
      <c r="FY535" s="50"/>
      <c r="FZ535" s="50"/>
      <c r="GA535" s="50"/>
      <c r="GB535" s="50"/>
      <c r="GC535" s="50"/>
      <c r="GD535" s="50"/>
      <c r="GE535" s="50"/>
      <c r="GF535" s="50"/>
    </row>
    <row r="536" spans="1:188">
      <c r="A536" s="147"/>
      <c r="B536" s="147"/>
      <c r="C536" s="51"/>
      <c r="D536" s="52"/>
      <c r="E536" s="47"/>
      <c r="F536" s="47"/>
      <c r="G536" s="47"/>
      <c r="H536" s="47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50"/>
      <c r="BM536" s="50"/>
      <c r="BN536" s="50"/>
      <c r="BO536" s="50"/>
      <c r="BP536" s="50"/>
      <c r="BQ536" s="50"/>
      <c r="BR536" s="50"/>
      <c r="BS536" s="50"/>
      <c r="BT536" s="50"/>
      <c r="BU536" s="50"/>
      <c r="BV536" s="50"/>
      <c r="BW536" s="50"/>
      <c r="BX536" s="50"/>
      <c r="BY536" s="50"/>
      <c r="BZ536" s="50"/>
      <c r="CA536" s="50"/>
      <c r="CB536" s="50"/>
      <c r="CC536" s="50"/>
      <c r="CD536" s="50"/>
      <c r="CE536" s="50"/>
      <c r="CF536" s="50"/>
      <c r="CG536" s="50"/>
      <c r="CH536" s="50"/>
      <c r="CI536" s="50"/>
      <c r="CJ536" s="50"/>
      <c r="CK536" s="50"/>
      <c r="CL536" s="50"/>
      <c r="CM536" s="50"/>
      <c r="CN536" s="50"/>
      <c r="CO536" s="50"/>
      <c r="CP536" s="50"/>
      <c r="CQ536" s="50"/>
      <c r="CR536" s="50"/>
      <c r="CS536" s="50"/>
      <c r="CT536" s="50"/>
      <c r="CU536" s="50"/>
      <c r="CV536" s="50"/>
      <c r="CW536" s="50"/>
      <c r="CX536" s="50"/>
      <c r="CY536" s="50"/>
      <c r="CZ536" s="50"/>
      <c r="DA536" s="50"/>
      <c r="DB536" s="50"/>
      <c r="DC536" s="50"/>
      <c r="DD536" s="50"/>
      <c r="DE536" s="50"/>
      <c r="DF536" s="50"/>
      <c r="DG536" s="50"/>
      <c r="DH536" s="50"/>
      <c r="DI536" s="50"/>
      <c r="DJ536" s="50"/>
      <c r="DK536" s="50"/>
      <c r="DL536" s="50"/>
      <c r="DM536" s="50"/>
      <c r="DN536" s="50"/>
      <c r="DO536" s="50"/>
      <c r="DP536" s="50"/>
      <c r="DQ536" s="50"/>
      <c r="DR536" s="50"/>
      <c r="DS536" s="50"/>
      <c r="DT536" s="50"/>
      <c r="DU536" s="50"/>
      <c r="DV536" s="50"/>
      <c r="DW536" s="50"/>
      <c r="DX536" s="50"/>
      <c r="DY536" s="50"/>
      <c r="DZ536" s="50"/>
      <c r="EA536" s="50"/>
      <c r="EB536" s="50"/>
      <c r="EC536" s="50"/>
      <c r="ED536" s="50"/>
      <c r="EE536" s="50"/>
      <c r="EF536" s="50"/>
      <c r="EG536" s="50"/>
      <c r="EH536" s="50"/>
      <c r="EI536" s="50"/>
      <c r="EJ536" s="50"/>
      <c r="EK536" s="50"/>
      <c r="EL536" s="50"/>
      <c r="EM536" s="50"/>
      <c r="EN536" s="50"/>
      <c r="EO536" s="50"/>
      <c r="EP536" s="50"/>
      <c r="EQ536" s="50"/>
      <c r="ER536" s="50"/>
      <c r="ES536" s="50"/>
      <c r="ET536" s="50"/>
      <c r="EU536" s="50"/>
      <c r="EV536" s="50"/>
      <c r="EW536" s="50"/>
      <c r="EX536" s="50"/>
      <c r="EY536" s="50"/>
      <c r="EZ536" s="50"/>
      <c r="FA536" s="50"/>
      <c r="FB536" s="50"/>
      <c r="FC536" s="50"/>
      <c r="FD536" s="50"/>
      <c r="FE536" s="50"/>
      <c r="FF536" s="50"/>
      <c r="FG536" s="50"/>
      <c r="FH536" s="50"/>
      <c r="FI536" s="50"/>
      <c r="FJ536" s="50"/>
      <c r="FK536" s="50"/>
      <c r="FL536" s="50"/>
      <c r="FM536" s="50"/>
      <c r="FN536" s="50"/>
      <c r="FO536" s="50"/>
      <c r="FP536" s="50"/>
      <c r="FQ536" s="50"/>
      <c r="FR536" s="50"/>
      <c r="FS536" s="50"/>
      <c r="FT536" s="50"/>
      <c r="FU536" s="50"/>
      <c r="FV536" s="50"/>
      <c r="FW536" s="50"/>
      <c r="FX536" s="50"/>
      <c r="FY536" s="50"/>
      <c r="FZ536" s="50"/>
      <c r="GA536" s="50"/>
      <c r="GB536" s="50"/>
      <c r="GC536" s="50"/>
      <c r="GD536" s="50"/>
      <c r="GE536" s="50"/>
      <c r="GF536" s="50"/>
    </row>
    <row r="537" spans="1:188">
      <c r="A537" s="147"/>
      <c r="B537" s="147"/>
      <c r="C537" s="51"/>
      <c r="D537" s="52"/>
      <c r="E537" s="47"/>
      <c r="F537" s="47"/>
      <c r="G537" s="47"/>
      <c r="H537" s="47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50"/>
      <c r="AT537" s="50"/>
      <c r="AU537" s="50"/>
      <c r="AV537" s="50"/>
      <c r="AW537" s="50"/>
      <c r="AX537" s="50"/>
      <c r="AY537" s="50"/>
      <c r="AZ537" s="50"/>
      <c r="BA537" s="50"/>
      <c r="BB537" s="50"/>
      <c r="BC537" s="50"/>
      <c r="BD537" s="50"/>
      <c r="BE537" s="50"/>
      <c r="BF537" s="50"/>
      <c r="BG537" s="50"/>
      <c r="BH537" s="50"/>
      <c r="BI537" s="50"/>
      <c r="BJ537" s="50"/>
      <c r="BK537" s="50"/>
      <c r="BL537" s="50"/>
      <c r="BM537" s="50"/>
      <c r="BN537" s="50"/>
      <c r="BO537" s="50"/>
      <c r="BP537" s="50"/>
      <c r="BQ537" s="50"/>
      <c r="BR537" s="50"/>
      <c r="BS537" s="50"/>
      <c r="BT537" s="50"/>
      <c r="BU537" s="50"/>
      <c r="BV537" s="50"/>
      <c r="BW537" s="50"/>
      <c r="BX537" s="50"/>
      <c r="BY537" s="50"/>
      <c r="BZ537" s="50"/>
      <c r="CA537" s="50"/>
      <c r="CB537" s="50"/>
      <c r="CC537" s="50"/>
      <c r="CD537" s="50"/>
      <c r="CE537" s="50"/>
      <c r="CF537" s="50"/>
      <c r="CG537" s="50"/>
      <c r="CH537" s="50"/>
      <c r="CI537" s="50"/>
      <c r="CJ537" s="50"/>
      <c r="CK537" s="50"/>
      <c r="CL537" s="50"/>
      <c r="CM537" s="50"/>
      <c r="CN537" s="50"/>
      <c r="CO537" s="50"/>
      <c r="CP537" s="50"/>
      <c r="CQ537" s="50"/>
      <c r="CR537" s="50"/>
      <c r="CS537" s="50"/>
      <c r="CT537" s="50"/>
      <c r="CU537" s="50"/>
      <c r="CV537" s="50"/>
      <c r="CW537" s="50"/>
      <c r="CX537" s="50"/>
      <c r="CY537" s="50"/>
      <c r="CZ537" s="50"/>
      <c r="DA537" s="50"/>
      <c r="DB537" s="50"/>
      <c r="DC537" s="50"/>
      <c r="DD537" s="50"/>
      <c r="DE537" s="50"/>
      <c r="DF537" s="50"/>
      <c r="DG537" s="50"/>
      <c r="DH537" s="50"/>
      <c r="DI537" s="50"/>
      <c r="DJ537" s="50"/>
      <c r="DK537" s="50"/>
      <c r="DL537" s="50"/>
      <c r="DM537" s="50"/>
      <c r="DN537" s="50"/>
      <c r="DO537" s="50"/>
      <c r="DP537" s="50"/>
      <c r="DQ537" s="50"/>
      <c r="DR537" s="50"/>
      <c r="DS537" s="50"/>
      <c r="DT537" s="50"/>
      <c r="DU537" s="50"/>
      <c r="DV537" s="50"/>
      <c r="DW537" s="50"/>
      <c r="DX537" s="50"/>
      <c r="DY537" s="50"/>
      <c r="DZ537" s="50"/>
      <c r="EA537" s="50"/>
      <c r="EB537" s="50"/>
      <c r="EC537" s="50"/>
      <c r="ED537" s="50"/>
      <c r="EE537" s="50"/>
      <c r="EF537" s="50"/>
      <c r="EG537" s="50"/>
      <c r="EH537" s="50"/>
      <c r="EI537" s="50"/>
      <c r="EJ537" s="50"/>
      <c r="EK537" s="50"/>
      <c r="EL537" s="50"/>
      <c r="EM537" s="50"/>
      <c r="EN537" s="50"/>
      <c r="EO537" s="50"/>
      <c r="EP537" s="50"/>
      <c r="EQ537" s="50"/>
      <c r="ER537" s="50"/>
      <c r="ES537" s="50"/>
      <c r="ET537" s="50"/>
      <c r="EU537" s="50"/>
      <c r="EV537" s="50"/>
      <c r="EW537" s="50"/>
      <c r="EX537" s="50"/>
      <c r="EY537" s="50"/>
      <c r="EZ537" s="50"/>
      <c r="FA537" s="50"/>
      <c r="FB537" s="50"/>
      <c r="FC537" s="50"/>
      <c r="FD537" s="50"/>
      <c r="FE537" s="50"/>
      <c r="FF537" s="50"/>
      <c r="FG537" s="50"/>
      <c r="FH537" s="50"/>
      <c r="FI537" s="50"/>
      <c r="FJ537" s="50"/>
      <c r="FK537" s="50"/>
      <c r="FL537" s="50"/>
      <c r="FM537" s="50"/>
      <c r="FN537" s="50"/>
      <c r="FO537" s="50"/>
      <c r="FP537" s="50"/>
      <c r="FQ537" s="50"/>
      <c r="FR537" s="50"/>
      <c r="FS537" s="50"/>
      <c r="FT537" s="50"/>
      <c r="FU537" s="50"/>
      <c r="FV537" s="50"/>
      <c r="FW537" s="50"/>
      <c r="FX537" s="50"/>
      <c r="FY537" s="50"/>
      <c r="FZ537" s="50"/>
      <c r="GA537" s="50"/>
      <c r="GB537" s="50"/>
      <c r="GC537" s="50"/>
      <c r="GD537" s="50"/>
      <c r="GE537" s="50"/>
      <c r="GF537" s="50"/>
    </row>
    <row r="538" spans="1:188">
      <c r="A538" s="147"/>
      <c r="B538" s="147"/>
      <c r="C538" s="51"/>
      <c r="D538" s="52"/>
      <c r="E538" s="47"/>
      <c r="F538" s="47"/>
      <c r="G538" s="47"/>
      <c r="H538" s="47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50"/>
      <c r="AV538" s="50"/>
      <c r="AW538" s="50"/>
      <c r="AX538" s="50"/>
      <c r="AY538" s="50"/>
      <c r="AZ538" s="50"/>
      <c r="BA538" s="50"/>
      <c r="BB538" s="50"/>
      <c r="BC538" s="50"/>
      <c r="BD538" s="50"/>
      <c r="BE538" s="50"/>
      <c r="BF538" s="50"/>
      <c r="BG538" s="50"/>
      <c r="BH538" s="50"/>
      <c r="BI538" s="50"/>
      <c r="BJ538" s="50"/>
      <c r="BK538" s="50"/>
      <c r="BL538" s="50"/>
      <c r="BM538" s="50"/>
      <c r="BN538" s="50"/>
      <c r="BO538" s="50"/>
      <c r="BP538" s="50"/>
      <c r="BQ538" s="50"/>
      <c r="BR538" s="50"/>
      <c r="BS538" s="50"/>
      <c r="BT538" s="50"/>
      <c r="BU538" s="50"/>
      <c r="BV538" s="50"/>
      <c r="BW538" s="50"/>
      <c r="BX538" s="50"/>
      <c r="BY538" s="50"/>
      <c r="BZ538" s="50"/>
      <c r="CA538" s="50"/>
      <c r="CB538" s="50"/>
      <c r="CC538" s="50"/>
      <c r="CD538" s="50"/>
      <c r="CE538" s="50"/>
      <c r="CF538" s="50"/>
      <c r="CG538" s="50"/>
      <c r="CH538" s="50"/>
      <c r="CI538" s="50"/>
      <c r="CJ538" s="50"/>
      <c r="CK538" s="50"/>
      <c r="CL538" s="50"/>
      <c r="CM538" s="50"/>
      <c r="CN538" s="50"/>
      <c r="CO538" s="50"/>
      <c r="CP538" s="50"/>
      <c r="CQ538" s="50"/>
      <c r="CR538" s="50"/>
      <c r="CS538" s="50"/>
      <c r="CT538" s="50"/>
      <c r="CU538" s="50"/>
      <c r="CV538" s="50"/>
      <c r="CW538" s="50"/>
      <c r="CX538" s="50"/>
      <c r="CY538" s="50"/>
      <c r="CZ538" s="50"/>
      <c r="DA538" s="50"/>
      <c r="DB538" s="50"/>
      <c r="DC538" s="50"/>
      <c r="DD538" s="50"/>
      <c r="DE538" s="50"/>
      <c r="DF538" s="50"/>
      <c r="DG538" s="50"/>
      <c r="DH538" s="50"/>
      <c r="DI538" s="50"/>
      <c r="DJ538" s="50"/>
      <c r="DK538" s="50"/>
      <c r="DL538" s="50"/>
      <c r="DM538" s="50"/>
      <c r="DN538" s="50"/>
      <c r="DO538" s="50"/>
      <c r="DP538" s="50"/>
      <c r="DQ538" s="50"/>
      <c r="DR538" s="50"/>
      <c r="DS538" s="50"/>
      <c r="DT538" s="50"/>
      <c r="DU538" s="50"/>
      <c r="DV538" s="50"/>
      <c r="DW538" s="50"/>
      <c r="DX538" s="50"/>
      <c r="DY538" s="50"/>
      <c r="DZ538" s="50"/>
      <c r="EA538" s="50"/>
      <c r="EB538" s="50"/>
      <c r="EC538" s="50"/>
      <c r="ED538" s="50"/>
      <c r="EE538" s="50"/>
      <c r="EF538" s="50"/>
      <c r="EG538" s="50"/>
      <c r="EH538" s="50"/>
      <c r="EI538" s="50"/>
      <c r="EJ538" s="50"/>
      <c r="EK538" s="50"/>
      <c r="EL538" s="50"/>
      <c r="EM538" s="50"/>
      <c r="EN538" s="50"/>
      <c r="EO538" s="50"/>
      <c r="EP538" s="50"/>
      <c r="EQ538" s="50"/>
      <c r="ER538" s="50"/>
      <c r="ES538" s="50"/>
      <c r="ET538" s="50"/>
      <c r="EU538" s="50"/>
      <c r="EV538" s="50"/>
      <c r="EW538" s="50"/>
      <c r="EX538" s="50"/>
      <c r="EY538" s="50"/>
      <c r="EZ538" s="50"/>
      <c r="FA538" s="50"/>
      <c r="FB538" s="50"/>
      <c r="FC538" s="50"/>
      <c r="FD538" s="50"/>
      <c r="FE538" s="50"/>
      <c r="FF538" s="50"/>
      <c r="FG538" s="50"/>
      <c r="FH538" s="50"/>
      <c r="FI538" s="50"/>
      <c r="FJ538" s="50"/>
      <c r="FK538" s="50"/>
      <c r="FL538" s="50"/>
      <c r="FM538" s="50"/>
      <c r="FN538" s="50"/>
      <c r="FO538" s="50"/>
      <c r="FP538" s="50"/>
      <c r="FQ538" s="50"/>
      <c r="FR538" s="50"/>
      <c r="FS538" s="50"/>
      <c r="FT538" s="50"/>
      <c r="FU538" s="50"/>
      <c r="FV538" s="50"/>
      <c r="FW538" s="50"/>
      <c r="FX538" s="50"/>
      <c r="FY538" s="50"/>
      <c r="FZ538" s="50"/>
      <c r="GA538" s="50"/>
      <c r="GB538" s="50"/>
      <c r="GC538" s="50"/>
      <c r="GD538" s="50"/>
      <c r="GE538" s="50"/>
      <c r="GF538" s="50"/>
    </row>
    <row r="539" spans="1:188">
      <c r="A539" s="147"/>
      <c r="B539" s="147"/>
      <c r="C539" s="51"/>
      <c r="D539" s="52"/>
      <c r="E539" s="47"/>
      <c r="F539" s="47"/>
      <c r="G539" s="47"/>
      <c r="H539" s="47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50"/>
      <c r="AW539" s="50"/>
      <c r="AX539" s="50"/>
      <c r="AY539" s="50"/>
      <c r="AZ539" s="50"/>
      <c r="BA539" s="50"/>
      <c r="BB539" s="50"/>
      <c r="BC539" s="50"/>
      <c r="BD539" s="50"/>
      <c r="BE539" s="50"/>
      <c r="BF539" s="50"/>
      <c r="BG539" s="50"/>
      <c r="BH539" s="50"/>
      <c r="BI539" s="50"/>
      <c r="BJ539" s="50"/>
      <c r="BK539" s="50"/>
      <c r="BL539" s="50"/>
      <c r="BM539" s="50"/>
      <c r="BN539" s="50"/>
      <c r="BO539" s="50"/>
      <c r="BP539" s="50"/>
      <c r="BQ539" s="50"/>
      <c r="BR539" s="50"/>
      <c r="BS539" s="50"/>
      <c r="BT539" s="50"/>
      <c r="BU539" s="50"/>
      <c r="BV539" s="50"/>
      <c r="BW539" s="50"/>
      <c r="BX539" s="50"/>
      <c r="BY539" s="50"/>
      <c r="BZ539" s="50"/>
      <c r="CA539" s="50"/>
      <c r="CB539" s="50"/>
      <c r="CC539" s="50"/>
      <c r="CD539" s="50"/>
      <c r="CE539" s="50"/>
      <c r="CF539" s="50"/>
      <c r="CG539" s="50"/>
      <c r="CH539" s="50"/>
      <c r="CI539" s="50"/>
      <c r="CJ539" s="50"/>
      <c r="CK539" s="50"/>
      <c r="CL539" s="50"/>
      <c r="CM539" s="50"/>
      <c r="CN539" s="50"/>
      <c r="CO539" s="50"/>
      <c r="CP539" s="50"/>
      <c r="CQ539" s="50"/>
      <c r="CR539" s="50"/>
      <c r="CS539" s="50"/>
      <c r="CT539" s="50"/>
      <c r="CU539" s="50"/>
      <c r="CV539" s="50"/>
      <c r="CW539" s="50"/>
      <c r="CX539" s="50"/>
      <c r="CY539" s="50"/>
      <c r="CZ539" s="50"/>
      <c r="DA539" s="50"/>
      <c r="DB539" s="50"/>
      <c r="DC539" s="50"/>
      <c r="DD539" s="50"/>
      <c r="DE539" s="50"/>
      <c r="DF539" s="50"/>
      <c r="DG539" s="50"/>
      <c r="DH539" s="50"/>
      <c r="DI539" s="50"/>
      <c r="DJ539" s="50"/>
      <c r="DK539" s="50"/>
      <c r="DL539" s="50"/>
      <c r="DM539" s="50"/>
      <c r="DN539" s="50"/>
      <c r="DO539" s="50"/>
      <c r="DP539" s="50"/>
      <c r="DQ539" s="50"/>
      <c r="DR539" s="50"/>
      <c r="DS539" s="50"/>
      <c r="DT539" s="50"/>
      <c r="DU539" s="50"/>
      <c r="DV539" s="50"/>
      <c r="DW539" s="50"/>
      <c r="DX539" s="50"/>
      <c r="DY539" s="50"/>
      <c r="DZ539" s="50"/>
      <c r="EA539" s="50"/>
      <c r="EB539" s="50"/>
      <c r="EC539" s="50"/>
      <c r="ED539" s="50"/>
      <c r="EE539" s="50"/>
      <c r="EF539" s="50"/>
      <c r="EG539" s="50"/>
      <c r="EH539" s="50"/>
      <c r="EI539" s="50"/>
      <c r="EJ539" s="50"/>
      <c r="EK539" s="50"/>
      <c r="EL539" s="50"/>
      <c r="EM539" s="50"/>
      <c r="EN539" s="50"/>
      <c r="EO539" s="50"/>
      <c r="EP539" s="50"/>
      <c r="EQ539" s="50"/>
      <c r="ER539" s="50"/>
      <c r="ES539" s="50"/>
      <c r="ET539" s="50"/>
      <c r="EU539" s="50"/>
      <c r="EV539" s="50"/>
      <c r="EW539" s="50"/>
      <c r="EX539" s="50"/>
      <c r="EY539" s="50"/>
      <c r="EZ539" s="50"/>
      <c r="FA539" s="50"/>
      <c r="FB539" s="50"/>
      <c r="FC539" s="50"/>
      <c r="FD539" s="50"/>
      <c r="FE539" s="50"/>
      <c r="FF539" s="50"/>
      <c r="FG539" s="50"/>
      <c r="FH539" s="50"/>
      <c r="FI539" s="50"/>
      <c r="FJ539" s="50"/>
      <c r="FK539" s="50"/>
      <c r="FL539" s="50"/>
      <c r="FM539" s="50"/>
      <c r="FN539" s="50"/>
      <c r="FO539" s="50"/>
      <c r="FP539" s="50"/>
      <c r="FQ539" s="50"/>
      <c r="FR539" s="50"/>
      <c r="FS539" s="50"/>
      <c r="FT539" s="50"/>
      <c r="FU539" s="50"/>
      <c r="FV539" s="50"/>
      <c r="FW539" s="50"/>
      <c r="FX539" s="50"/>
      <c r="FY539" s="50"/>
      <c r="FZ539" s="50"/>
      <c r="GA539" s="50"/>
      <c r="GB539" s="50"/>
      <c r="GC539" s="50"/>
      <c r="GD539" s="50"/>
      <c r="GE539" s="50"/>
      <c r="GF539" s="50"/>
    </row>
    <row r="540" spans="1:188">
      <c r="A540" s="147"/>
      <c r="B540" s="147"/>
      <c r="C540" s="51"/>
      <c r="D540" s="52"/>
      <c r="E540" s="47"/>
      <c r="F540" s="47"/>
      <c r="G540" s="47"/>
      <c r="H540" s="47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50"/>
      <c r="AT540" s="50"/>
      <c r="AU540" s="50"/>
      <c r="AV540" s="50"/>
      <c r="AW540" s="50"/>
      <c r="AX540" s="50"/>
      <c r="AY540" s="50"/>
      <c r="AZ540" s="50"/>
      <c r="BA540" s="50"/>
      <c r="BB540" s="50"/>
      <c r="BC540" s="50"/>
      <c r="BD540" s="50"/>
      <c r="BE540" s="50"/>
      <c r="BF540" s="50"/>
      <c r="BG540" s="50"/>
      <c r="BH540" s="50"/>
      <c r="BI540" s="50"/>
      <c r="BJ540" s="50"/>
      <c r="BK540" s="50"/>
      <c r="BL540" s="50"/>
      <c r="BM540" s="50"/>
      <c r="BN540" s="50"/>
      <c r="BO540" s="50"/>
      <c r="BP540" s="50"/>
      <c r="BQ540" s="50"/>
      <c r="BR540" s="50"/>
      <c r="BS540" s="50"/>
      <c r="BT540" s="50"/>
      <c r="BU540" s="50"/>
      <c r="BV540" s="50"/>
      <c r="BW540" s="50"/>
      <c r="BX540" s="50"/>
      <c r="BY540" s="50"/>
      <c r="BZ540" s="50"/>
      <c r="CA540" s="50"/>
      <c r="CB540" s="50"/>
      <c r="CC540" s="50"/>
      <c r="CD540" s="50"/>
      <c r="CE540" s="50"/>
      <c r="CF540" s="50"/>
      <c r="CG540" s="50"/>
      <c r="CH540" s="50"/>
      <c r="CI540" s="50"/>
      <c r="CJ540" s="50"/>
      <c r="CK540" s="50"/>
      <c r="CL540" s="50"/>
      <c r="CM540" s="50"/>
      <c r="CN540" s="50"/>
      <c r="CO540" s="50"/>
      <c r="CP540" s="50"/>
      <c r="CQ540" s="50"/>
      <c r="CR540" s="50"/>
      <c r="CS540" s="50"/>
      <c r="CT540" s="50"/>
      <c r="CU540" s="50"/>
      <c r="CV540" s="50"/>
      <c r="CW540" s="50"/>
      <c r="CX540" s="50"/>
      <c r="CY540" s="50"/>
      <c r="CZ540" s="50"/>
      <c r="DA540" s="50"/>
      <c r="DB540" s="50"/>
      <c r="DC540" s="50"/>
      <c r="DD540" s="50"/>
      <c r="DE540" s="50"/>
      <c r="DF540" s="50"/>
      <c r="DG540" s="50"/>
      <c r="DH540" s="50"/>
      <c r="DI540" s="50"/>
      <c r="DJ540" s="50"/>
      <c r="DK540" s="50"/>
      <c r="DL540" s="50"/>
      <c r="DM540" s="50"/>
      <c r="DN540" s="50"/>
      <c r="DO540" s="50"/>
      <c r="DP540" s="50"/>
      <c r="DQ540" s="50"/>
      <c r="DR540" s="50"/>
      <c r="DS540" s="50"/>
      <c r="DT540" s="50"/>
      <c r="DU540" s="50"/>
      <c r="DV540" s="50"/>
      <c r="DW540" s="50"/>
      <c r="DX540" s="50"/>
      <c r="DY540" s="50"/>
      <c r="DZ540" s="50"/>
      <c r="EA540" s="50"/>
      <c r="EB540" s="50"/>
      <c r="EC540" s="50"/>
      <c r="ED540" s="50"/>
      <c r="EE540" s="50"/>
      <c r="EF540" s="50"/>
      <c r="EG540" s="50"/>
      <c r="EH540" s="50"/>
      <c r="EI540" s="50"/>
      <c r="EJ540" s="50"/>
      <c r="EK540" s="50"/>
      <c r="EL540" s="50"/>
      <c r="EM540" s="50"/>
      <c r="EN540" s="50"/>
      <c r="EO540" s="50"/>
      <c r="EP540" s="50"/>
      <c r="EQ540" s="50"/>
      <c r="ER540" s="50"/>
      <c r="ES540" s="50"/>
      <c r="ET540" s="50"/>
      <c r="EU540" s="50"/>
      <c r="EV540" s="50"/>
      <c r="EW540" s="50"/>
      <c r="EX540" s="50"/>
      <c r="EY540" s="50"/>
      <c r="EZ540" s="50"/>
      <c r="FA540" s="50"/>
      <c r="FB540" s="50"/>
      <c r="FC540" s="50"/>
      <c r="FD540" s="50"/>
      <c r="FE540" s="50"/>
      <c r="FF540" s="50"/>
      <c r="FG540" s="50"/>
      <c r="FH540" s="50"/>
      <c r="FI540" s="50"/>
      <c r="FJ540" s="50"/>
      <c r="FK540" s="50"/>
      <c r="FL540" s="50"/>
      <c r="FM540" s="50"/>
      <c r="FN540" s="50"/>
      <c r="FO540" s="50"/>
      <c r="FP540" s="50"/>
      <c r="FQ540" s="50"/>
      <c r="FR540" s="50"/>
      <c r="FS540" s="50"/>
      <c r="FT540" s="50"/>
      <c r="FU540" s="50"/>
      <c r="FV540" s="50"/>
      <c r="FW540" s="50"/>
      <c r="FX540" s="50"/>
      <c r="FY540" s="50"/>
      <c r="FZ540" s="50"/>
      <c r="GA540" s="50"/>
      <c r="GB540" s="50"/>
      <c r="GC540" s="50"/>
      <c r="GD540" s="50"/>
      <c r="GE540" s="50"/>
      <c r="GF540" s="50"/>
    </row>
    <row r="541" spans="1:188">
      <c r="A541" s="147"/>
      <c r="B541" s="147"/>
      <c r="C541" s="51"/>
      <c r="D541" s="52"/>
      <c r="E541" s="47"/>
      <c r="F541" s="47"/>
      <c r="G541" s="47"/>
      <c r="H541" s="47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  <c r="BL541" s="50"/>
      <c r="BM541" s="50"/>
      <c r="BN541" s="50"/>
      <c r="BO541" s="50"/>
      <c r="BP541" s="50"/>
      <c r="BQ541" s="50"/>
      <c r="BR541" s="50"/>
      <c r="BS541" s="50"/>
      <c r="BT541" s="50"/>
      <c r="BU541" s="50"/>
      <c r="BV541" s="50"/>
      <c r="BW541" s="50"/>
      <c r="BX541" s="50"/>
      <c r="BY541" s="50"/>
      <c r="BZ541" s="50"/>
      <c r="CA541" s="50"/>
      <c r="CB541" s="50"/>
      <c r="CC541" s="50"/>
      <c r="CD541" s="50"/>
      <c r="CE541" s="50"/>
      <c r="CF541" s="50"/>
      <c r="CG541" s="50"/>
      <c r="CH541" s="50"/>
      <c r="CI541" s="50"/>
      <c r="CJ541" s="50"/>
      <c r="CK541" s="50"/>
      <c r="CL541" s="50"/>
      <c r="CM541" s="50"/>
      <c r="CN541" s="50"/>
      <c r="CO541" s="50"/>
      <c r="CP541" s="50"/>
      <c r="CQ541" s="50"/>
      <c r="CR541" s="50"/>
      <c r="CS541" s="50"/>
      <c r="CT541" s="50"/>
      <c r="CU541" s="50"/>
      <c r="CV541" s="50"/>
      <c r="CW541" s="50"/>
      <c r="CX541" s="50"/>
      <c r="CY541" s="50"/>
      <c r="CZ541" s="50"/>
      <c r="DA541" s="50"/>
      <c r="DB541" s="50"/>
      <c r="DC541" s="50"/>
      <c r="DD541" s="50"/>
      <c r="DE541" s="50"/>
      <c r="DF541" s="50"/>
      <c r="DG541" s="50"/>
      <c r="DH541" s="50"/>
      <c r="DI541" s="50"/>
      <c r="DJ541" s="50"/>
      <c r="DK541" s="50"/>
      <c r="DL541" s="50"/>
      <c r="DM541" s="50"/>
      <c r="DN541" s="50"/>
      <c r="DO541" s="50"/>
      <c r="DP541" s="50"/>
      <c r="DQ541" s="50"/>
      <c r="DR541" s="50"/>
      <c r="DS541" s="50"/>
      <c r="DT541" s="50"/>
      <c r="DU541" s="50"/>
      <c r="DV541" s="50"/>
      <c r="DW541" s="50"/>
      <c r="DX541" s="50"/>
      <c r="DY541" s="50"/>
      <c r="DZ541" s="50"/>
      <c r="EA541" s="50"/>
      <c r="EB541" s="50"/>
      <c r="EC541" s="50"/>
      <c r="ED541" s="50"/>
      <c r="EE541" s="50"/>
      <c r="EF541" s="50"/>
      <c r="EG541" s="50"/>
      <c r="EH541" s="50"/>
      <c r="EI541" s="50"/>
      <c r="EJ541" s="50"/>
      <c r="EK541" s="50"/>
      <c r="EL541" s="50"/>
      <c r="EM541" s="50"/>
      <c r="EN541" s="50"/>
      <c r="EO541" s="50"/>
      <c r="EP541" s="50"/>
      <c r="EQ541" s="50"/>
      <c r="ER541" s="50"/>
      <c r="ES541" s="50"/>
      <c r="ET541" s="50"/>
      <c r="EU541" s="50"/>
      <c r="EV541" s="50"/>
      <c r="EW541" s="50"/>
      <c r="EX541" s="50"/>
      <c r="EY541" s="50"/>
      <c r="EZ541" s="50"/>
      <c r="FA541" s="50"/>
      <c r="FB541" s="50"/>
      <c r="FC541" s="50"/>
      <c r="FD541" s="50"/>
      <c r="FE541" s="50"/>
      <c r="FF541" s="50"/>
      <c r="FG541" s="50"/>
      <c r="FH541" s="50"/>
      <c r="FI541" s="50"/>
      <c r="FJ541" s="50"/>
      <c r="FK541" s="50"/>
      <c r="FL541" s="50"/>
      <c r="FM541" s="50"/>
      <c r="FN541" s="50"/>
      <c r="FO541" s="50"/>
      <c r="FP541" s="50"/>
      <c r="FQ541" s="50"/>
      <c r="FR541" s="50"/>
      <c r="FS541" s="50"/>
      <c r="FT541" s="50"/>
      <c r="FU541" s="50"/>
      <c r="FV541" s="50"/>
      <c r="FW541" s="50"/>
      <c r="FX541" s="50"/>
      <c r="FY541" s="50"/>
      <c r="FZ541" s="50"/>
      <c r="GA541" s="50"/>
      <c r="GB541" s="50"/>
      <c r="GC541" s="50"/>
      <c r="GD541" s="50"/>
      <c r="GE541" s="50"/>
      <c r="GF541" s="50"/>
    </row>
    <row r="542" spans="1:188">
      <c r="A542" s="147"/>
      <c r="B542" s="147"/>
      <c r="C542" s="51"/>
      <c r="D542" s="52"/>
      <c r="E542" s="47"/>
      <c r="F542" s="47"/>
      <c r="G542" s="47"/>
      <c r="H542" s="47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50"/>
      <c r="AW542" s="50"/>
      <c r="AX542" s="50"/>
      <c r="AY542" s="50"/>
      <c r="AZ542" s="50"/>
      <c r="BA542" s="50"/>
      <c r="BB542" s="50"/>
      <c r="BC542" s="50"/>
      <c r="BD542" s="50"/>
      <c r="BE542" s="50"/>
      <c r="BF542" s="50"/>
      <c r="BG542" s="50"/>
      <c r="BH542" s="50"/>
      <c r="BI542" s="50"/>
      <c r="BJ542" s="50"/>
      <c r="BK542" s="50"/>
      <c r="BL542" s="50"/>
      <c r="BM542" s="50"/>
      <c r="BN542" s="50"/>
      <c r="BO542" s="50"/>
      <c r="BP542" s="50"/>
      <c r="BQ542" s="50"/>
      <c r="BR542" s="50"/>
      <c r="BS542" s="50"/>
      <c r="BT542" s="50"/>
      <c r="BU542" s="50"/>
      <c r="BV542" s="50"/>
      <c r="BW542" s="50"/>
      <c r="BX542" s="50"/>
      <c r="BY542" s="50"/>
      <c r="BZ542" s="50"/>
      <c r="CA542" s="50"/>
      <c r="CB542" s="50"/>
      <c r="CC542" s="50"/>
      <c r="CD542" s="50"/>
      <c r="CE542" s="50"/>
      <c r="CF542" s="50"/>
      <c r="CG542" s="50"/>
      <c r="CH542" s="50"/>
      <c r="CI542" s="50"/>
      <c r="CJ542" s="50"/>
      <c r="CK542" s="50"/>
      <c r="CL542" s="50"/>
      <c r="CM542" s="50"/>
      <c r="CN542" s="50"/>
      <c r="CO542" s="50"/>
      <c r="CP542" s="50"/>
      <c r="CQ542" s="50"/>
      <c r="CR542" s="50"/>
      <c r="CS542" s="50"/>
      <c r="CT542" s="50"/>
      <c r="CU542" s="50"/>
      <c r="CV542" s="50"/>
      <c r="CW542" s="50"/>
      <c r="CX542" s="50"/>
      <c r="CY542" s="50"/>
      <c r="CZ542" s="50"/>
      <c r="DA542" s="50"/>
      <c r="DB542" s="50"/>
      <c r="DC542" s="50"/>
      <c r="DD542" s="50"/>
      <c r="DE542" s="50"/>
      <c r="DF542" s="50"/>
      <c r="DG542" s="50"/>
      <c r="DH542" s="50"/>
      <c r="DI542" s="50"/>
      <c r="DJ542" s="50"/>
      <c r="DK542" s="50"/>
      <c r="DL542" s="50"/>
      <c r="DM542" s="50"/>
      <c r="DN542" s="50"/>
      <c r="DO542" s="50"/>
      <c r="DP542" s="50"/>
      <c r="DQ542" s="50"/>
      <c r="DR542" s="50"/>
      <c r="DS542" s="50"/>
      <c r="DT542" s="50"/>
      <c r="DU542" s="50"/>
      <c r="DV542" s="50"/>
      <c r="DW542" s="50"/>
      <c r="DX542" s="50"/>
      <c r="DY542" s="50"/>
      <c r="DZ542" s="50"/>
      <c r="EA542" s="50"/>
      <c r="EB542" s="50"/>
      <c r="EC542" s="50"/>
      <c r="ED542" s="50"/>
      <c r="EE542" s="50"/>
      <c r="EF542" s="50"/>
      <c r="EG542" s="50"/>
      <c r="EH542" s="50"/>
      <c r="EI542" s="50"/>
      <c r="EJ542" s="50"/>
      <c r="EK542" s="50"/>
      <c r="EL542" s="50"/>
      <c r="EM542" s="50"/>
      <c r="EN542" s="50"/>
      <c r="EO542" s="50"/>
      <c r="EP542" s="50"/>
      <c r="EQ542" s="50"/>
      <c r="ER542" s="50"/>
      <c r="ES542" s="50"/>
      <c r="ET542" s="50"/>
      <c r="EU542" s="50"/>
      <c r="EV542" s="50"/>
      <c r="EW542" s="50"/>
      <c r="EX542" s="50"/>
      <c r="EY542" s="50"/>
      <c r="EZ542" s="50"/>
      <c r="FA542" s="50"/>
      <c r="FB542" s="50"/>
      <c r="FC542" s="50"/>
      <c r="FD542" s="50"/>
      <c r="FE542" s="50"/>
      <c r="FF542" s="50"/>
      <c r="FG542" s="50"/>
      <c r="FH542" s="50"/>
      <c r="FI542" s="50"/>
      <c r="FJ542" s="50"/>
      <c r="FK542" s="50"/>
      <c r="FL542" s="50"/>
      <c r="FM542" s="50"/>
      <c r="FN542" s="50"/>
      <c r="FO542" s="50"/>
      <c r="FP542" s="50"/>
      <c r="FQ542" s="50"/>
      <c r="FR542" s="50"/>
      <c r="FS542" s="50"/>
      <c r="FT542" s="50"/>
      <c r="FU542" s="50"/>
      <c r="FV542" s="50"/>
      <c r="FW542" s="50"/>
      <c r="FX542" s="50"/>
      <c r="FY542" s="50"/>
      <c r="FZ542" s="50"/>
      <c r="GA542" s="50"/>
      <c r="GB542" s="50"/>
      <c r="GC542" s="50"/>
      <c r="GD542" s="50"/>
      <c r="GE542" s="50"/>
      <c r="GF542" s="50"/>
    </row>
    <row r="543" spans="1:188">
      <c r="A543" s="147"/>
      <c r="B543" s="147"/>
      <c r="C543" s="51"/>
      <c r="D543" s="52"/>
      <c r="E543" s="47"/>
      <c r="F543" s="47"/>
      <c r="G543" s="47"/>
      <c r="H543" s="47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50"/>
      <c r="AV543" s="50"/>
      <c r="AW543" s="50"/>
      <c r="AX543" s="50"/>
      <c r="AY543" s="50"/>
      <c r="AZ543" s="50"/>
      <c r="BA543" s="50"/>
      <c r="BB543" s="50"/>
      <c r="BC543" s="50"/>
      <c r="BD543" s="50"/>
      <c r="BE543" s="50"/>
      <c r="BF543" s="50"/>
      <c r="BG543" s="50"/>
      <c r="BH543" s="50"/>
      <c r="BI543" s="50"/>
      <c r="BJ543" s="50"/>
      <c r="BK543" s="50"/>
      <c r="BL543" s="50"/>
      <c r="BM543" s="50"/>
      <c r="BN543" s="50"/>
      <c r="BO543" s="50"/>
      <c r="BP543" s="50"/>
      <c r="BQ543" s="50"/>
      <c r="BR543" s="50"/>
      <c r="BS543" s="50"/>
      <c r="BT543" s="50"/>
      <c r="BU543" s="50"/>
      <c r="BV543" s="50"/>
      <c r="BW543" s="50"/>
      <c r="BX543" s="50"/>
      <c r="BY543" s="50"/>
      <c r="BZ543" s="50"/>
      <c r="CA543" s="50"/>
      <c r="CB543" s="50"/>
      <c r="CC543" s="50"/>
      <c r="CD543" s="50"/>
      <c r="CE543" s="50"/>
      <c r="CF543" s="50"/>
      <c r="CG543" s="50"/>
      <c r="CH543" s="50"/>
      <c r="CI543" s="50"/>
      <c r="CJ543" s="50"/>
      <c r="CK543" s="50"/>
      <c r="CL543" s="50"/>
      <c r="CM543" s="50"/>
      <c r="CN543" s="50"/>
      <c r="CO543" s="50"/>
      <c r="CP543" s="50"/>
      <c r="CQ543" s="50"/>
      <c r="CR543" s="50"/>
      <c r="CS543" s="50"/>
      <c r="CT543" s="50"/>
      <c r="CU543" s="50"/>
      <c r="CV543" s="50"/>
      <c r="CW543" s="50"/>
      <c r="CX543" s="50"/>
      <c r="CY543" s="50"/>
      <c r="CZ543" s="50"/>
      <c r="DA543" s="50"/>
      <c r="DB543" s="50"/>
      <c r="DC543" s="50"/>
      <c r="DD543" s="50"/>
      <c r="DE543" s="50"/>
      <c r="DF543" s="50"/>
      <c r="DG543" s="50"/>
      <c r="DH543" s="50"/>
      <c r="DI543" s="50"/>
      <c r="DJ543" s="50"/>
      <c r="DK543" s="50"/>
      <c r="DL543" s="50"/>
      <c r="DM543" s="50"/>
      <c r="DN543" s="50"/>
      <c r="DO543" s="50"/>
      <c r="DP543" s="50"/>
      <c r="DQ543" s="50"/>
      <c r="DR543" s="50"/>
      <c r="DS543" s="50"/>
      <c r="DT543" s="50"/>
      <c r="DU543" s="50"/>
      <c r="DV543" s="50"/>
      <c r="DW543" s="50"/>
      <c r="DX543" s="50"/>
      <c r="DY543" s="50"/>
      <c r="DZ543" s="50"/>
      <c r="EA543" s="50"/>
      <c r="EB543" s="50"/>
      <c r="EC543" s="50"/>
      <c r="ED543" s="50"/>
      <c r="EE543" s="50"/>
      <c r="EF543" s="50"/>
      <c r="EG543" s="50"/>
      <c r="EH543" s="50"/>
      <c r="EI543" s="50"/>
      <c r="EJ543" s="50"/>
      <c r="EK543" s="50"/>
      <c r="EL543" s="50"/>
      <c r="EM543" s="50"/>
      <c r="EN543" s="50"/>
      <c r="EO543" s="50"/>
      <c r="EP543" s="50"/>
      <c r="EQ543" s="50"/>
      <c r="ER543" s="50"/>
      <c r="ES543" s="50"/>
      <c r="ET543" s="50"/>
      <c r="EU543" s="50"/>
      <c r="EV543" s="50"/>
      <c r="EW543" s="50"/>
      <c r="EX543" s="50"/>
      <c r="EY543" s="50"/>
      <c r="EZ543" s="50"/>
      <c r="FA543" s="50"/>
      <c r="FB543" s="50"/>
      <c r="FC543" s="50"/>
      <c r="FD543" s="50"/>
      <c r="FE543" s="50"/>
      <c r="FF543" s="50"/>
      <c r="FG543" s="50"/>
      <c r="FH543" s="50"/>
      <c r="FI543" s="50"/>
      <c r="FJ543" s="50"/>
      <c r="FK543" s="50"/>
      <c r="FL543" s="50"/>
      <c r="FM543" s="50"/>
      <c r="FN543" s="50"/>
      <c r="FO543" s="50"/>
      <c r="FP543" s="50"/>
      <c r="FQ543" s="50"/>
      <c r="FR543" s="50"/>
      <c r="FS543" s="50"/>
      <c r="FT543" s="50"/>
      <c r="FU543" s="50"/>
      <c r="FV543" s="50"/>
      <c r="FW543" s="50"/>
      <c r="FX543" s="50"/>
      <c r="FY543" s="50"/>
      <c r="FZ543" s="50"/>
      <c r="GA543" s="50"/>
      <c r="GB543" s="50"/>
      <c r="GC543" s="50"/>
      <c r="GD543" s="50"/>
      <c r="GE543" s="50"/>
      <c r="GF543" s="50"/>
    </row>
    <row r="544" spans="1:188">
      <c r="A544" s="147"/>
      <c r="B544" s="147"/>
      <c r="C544" s="51"/>
      <c r="D544" s="52"/>
      <c r="E544" s="47"/>
      <c r="F544" s="47"/>
      <c r="G544" s="47"/>
      <c r="H544" s="47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50"/>
      <c r="AY544" s="50"/>
      <c r="AZ544" s="50"/>
      <c r="BA544" s="50"/>
      <c r="BB544" s="50"/>
      <c r="BC544" s="50"/>
      <c r="BD544" s="50"/>
      <c r="BE544" s="50"/>
      <c r="BF544" s="50"/>
      <c r="BG544" s="50"/>
      <c r="BH544" s="50"/>
      <c r="BI544" s="50"/>
      <c r="BJ544" s="50"/>
      <c r="BK544" s="50"/>
      <c r="BL544" s="50"/>
      <c r="BM544" s="50"/>
      <c r="BN544" s="50"/>
      <c r="BO544" s="50"/>
      <c r="BP544" s="50"/>
      <c r="BQ544" s="50"/>
      <c r="BR544" s="50"/>
      <c r="BS544" s="50"/>
      <c r="BT544" s="50"/>
      <c r="BU544" s="50"/>
      <c r="BV544" s="50"/>
      <c r="BW544" s="50"/>
      <c r="BX544" s="50"/>
      <c r="BY544" s="50"/>
      <c r="BZ544" s="50"/>
      <c r="CA544" s="50"/>
      <c r="CB544" s="50"/>
      <c r="CC544" s="50"/>
      <c r="CD544" s="50"/>
      <c r="CE544" s="50"/>
      <c r="CF544" s="50"/>
      <c r="CG544" s="50"/>
      <c r="CH544" s="50"/>
      <c r="CI544" s="50"/>
      <c r="CJ544" s="50"/>
      <c r="CK544" s="50"/>
      <c r="CL544" s="50"/>
      <c r="CM544" s="50"/>
      <c r="CN544" s="50"/>
      <c r="CO544" s="50"/>
      <c r="CP544" s="50"/>
      <c r="CQ544" s="50"/>
      <c r="CR544" s="50"/>
      <c r="CS544" s="50"/>
      <c r="CT544" s="50"/>
      <c r="CU544" s="50"/>
      <c r="CV544" s="50"/>
      <c r="CW544" s="50"/>
      <c r="CX544" s="50"/>
      <c r="CY544" s="50"/>
      <c r="CZ544" s="50"/>
      <c r="DA544" s="50"/>
      <c r="DB544" s="50"/>
      <c r="DC544" s="50"/>
      <c r="DD544" s="50"/>
      <c r="DE544" s="50"/>
      <c r="DF544" s="50"/>
      <c r="DG544" s="50"/>
      <c r="DH544" s="50"/>
      <c r="DI544" s="50"/>
      <c r="DJ544" s="50"/>
      <c r="DK544" s="50"/>
      <c r="DL544" s="50"/>
      <c r="DM544" s="50"/>
      <c r="DN544" s="50"/>
      <c r="DO544" s="50"/>
      <c r="DP544" s="50"/>
      <c r="DQ544" s="50"/>
      <c r="DR544" s="50"/>
      <c r="DS544" s="50"/>
      <c r="DT544" s="50"/>
      <c r="DU544" s="50"/>
      <c r="DV544" s="50"/>
      <c r="DW544" s="50"/>
      <c r="DX544" s="50"/>
      <c r="DY544" s="50"/>
      <c r="DZ544" s="50"/>
      <c r="EA544" s="50"/>
      <c r="EB544" s="50"/>
      <c r="EC544" s="50"/>
      <c r="ED544" s="50"/>
      <c r="EE544" s="50"/>
      <c r="EF544" s="50"/>
      <c r="EG544" s="50"/>
      <c r="EH544" s="50"/>
      <c r="EI544" s="50"/>
      <c r="EJ544" s="50"/>
      <c r="EK544" s="50"/>
      <c r="EL544" s="50"/>
      <c r="EM544" s="50"/>
      <c r="EN544" s="50"/>
      <c r="EO544" s="50"/>
      <c r="EP544" s="50"/>
      <c r="EQ544" s="50"/>
      <c r="ER544" s="50"/>
      <c r="ES544" s="50"/>
      <c r="ET544" s="50"/>
      <c r="EU544" s="50"/>
      <c r="EV544" s="50"/>
      <c r="EW544" s="50"/>
      <c r="EX544" s="50"/>
      <c r="EY544" s="50"/>
      <c r="EZ544" s="50"/>
      <c r="FA544" s="50"/>
      <c r="FB544" s="50"/>
      <c r="FC544" s="50"/>
      <c r="FD544" s="50"/>
      <c r="FE544" s="50"/>
      <c r="FF544" s="50"/>
      <c r="FG544" s="50"/>
      <c r="FH544" s="50"/>
      <c r="FI544" s="50"/>
      <c r="FJ544" s="50"/>
      <c r="FK544" s="50"/>
      <c r="FL544" s="50"/>
      <c r="FM544" s="50"/>
      <c r="FN544" s="50"/>
      <c r="FO544" s="50"/>
      <c r="FP544" s="50"/>
      <c r="FQ544" s="50"/>
      <c r="FR544" s="50"/>
      <c r="FS544" s="50"/>
      <c r="FT544" s="50"/>
      <c r="FU544" s="50"/>
      <c r="FV544" s="50"/>
      <c r="FW544" s="50"/>
      <c r="FX544" s="50"/>
      <c r="FY544" s="50"/>
      <c r="FZ544" s="50"/>
      <c r="GA544" s="50"/>
      <c r="GB544" s="50"/>
      <c r="GC544" s="50"/>
      <c r="GD544" s="50"/>
      <c r="GE544" s="50"/>
      <c r="GF544" s="50"/>
    </row>
    <row r="545" spans="1:188">
      <c r="A545" s="147"/>
      <c r="B545" s="147"/>
      <c r="C545" s="51"/>
      <c r="D545" s="52"/>
      <c r="E545" s="47"/>
      <c r="F545" s="47"/>
      <c r="G545" s="47"/>
      <c r="H545" s="47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50"/>
      <c r="AW545" s="50"/>
      <c r="AX545" s="50"/>
      <c r="AY545" s="50"/>
      <c r="AZ545" s="50"/>
      <c r="BA545" s="50"/>
      <c r="BB545" s="50"/>
      <c r="BC545" s="50"/>
      <c r="BD545" s="50"/>
      <c r="BE545" s="50"/>
      <c r="BF545" s="50"/>
      <c r="BG545" s="50"/>
      <c r="BH545" s="50"/>
      <c r="BI545" s="50"/>
      <c r="BJ545" s="50"/>
      <c r="BK545" s="50"/>
      <c r="BL545" s="50"/>
      <c r="BM545" s="50"/>
      <c r="BN545" s="50"/>
      <c r="BO545" s="50"/>
      <c r="BP545" s="50"/>
      <c r="BQ545" s="50"/>
      <c r="BR545" s="50"/>
      <c r="BS545" s="50"/>
      <c r="BT545" s="50"/>
      <c r="BU545" s="50"/>
      <c r="BV545" s="50"/>
      <c r="BW545" s="50"/>
      <c r="BX545" s="50"/>
      <c r="BY545" s="50"/>
      <c r="BZ545" s="50"/>
      <c r="CA545" s="50"/>
      <c r="CB545" s="50"/>
      <c r="CC545" s="50"/>
      <c r="CD545" s="50"/>
      <c r="CE545" s="50"/>
      <c r="CF545" s="50"/>
      <c r="CG545" s="50"/>
      <c r="CH545" s="50"/>
      <c r="CI545" s="50"/>
      <c r="CJ545" s="50"/>
      <c r="CK545" s="50"/>
      <c r="CL545" s="50"/>
      <c r="CM545" s="50"/>
      <c r="CN545" s="50"/>
      <c r="CO545" s="50"/>
      <c r="CP545" s="50"/>
      <c r="CQ545" s="50"/>
      <c r="CR545" s="50"/>
      <c r="CS545" s="50"/>
      <c r="CT545" s="50"/>
      <c r="CU545" s="50"/>
      <c r="CV545" s="50"/>
      <c r="CW545" s="50"/>
      <c r="CX545" s="50"/>
      <c r="CY545" s="50"/>
      <c r="CZ545" s="50"/>
      <c r="DA545" s="50"/>
      <c r="DB545" s="50"/>
      <c r="DC545" s="50"/>
      <c r="DD545" s="50"/>
      <c r="DE545" s="50"/>
      <c r="DF545" s="50"/>
      <c r="DG545" s="50"/>
      <c r="DH545" s="50"/>
      <c r="DI545" s="50"/>
      <c r="DJ545" s="50"/>
      <c r="DK545" s="50"/>
      <c r="DL545" s="50"/>
      <c r="DM545" s="50"/>
      <c r="DN545" s="50"/>
      <c r="DO545" s="50"/>
      <c r="DP545" s="50"/>
      <c r="DQ545" s="50"/>
      <c r="DR545" s="50"/>
      <c r="DS545" s="50"/>
      <c r="DT545" s="50"/>
      <c r="DU545" s="50"/>
      <c r="DV545" s="50"/>
      <c r="DW545" s="50"/>
      <c r="DX545" s="50"/>
      <c r="DY545" s="50"/>
      <c r="DZ545" s="50"/>
      <c r="EA545" s="50"/>
      <c r="EB545" s="50"/>
      <c r="EC545" s="50"/>
      <c r="ED545" s="50"/>
      <c r="EE545" s="50"/>
      <c r="EF545" s="50"/>
      <c r="EG545" s="50"/>
      <c r="EH545" s="50"/>
      <c r="EI545" s="50"/>
      <c r="EJ545" s="50"/>
      <c r="EK545" s="50"/>
      <c r="EL545" s="50"/>
      <c r="EM545" s="50"/>
      <c r="EN545" s="50"/>
      <c r="EO545" s="50"/>
      <c r="EP545" s="50"/>
      <c r="EQ545" s="50"/>
      <c r="ER545" s="50"/>
      <c r="ES545" s="50"/>
      <c r="ET545" s="50"/>
      <c r="EU545" s="50"/>
      <c r="EV545" s="50"/>
      <c r="EW545" s="50"/>
      <c r="EX545" s="50"/>
      <c r="EY545" s="50"/>
      <c r="EZ545" s="50"/>
      <c r="FA545" s="50"/>
      <c r="FB545" s="50"/>
      <c r="FC545" s="50"/>
      <c r="FD545" s="50"/>
      <c r="FE545" s="50"/>
      <c r="FF545" s="50"/>
      <c r="FG545" s="50"/>
      <c r="FH545" s="50"/>
      <c r="FI545" s="50"/>
      <c r="FJ545" s="50"/>
      <c r="FK545" s="50"/>
      <c r="FL545" s="50"/>
      <c r="FM545" s="50"/>
      <c r="FN545" s="50"/>
      <c r="FO545" s="50"/>
      <c r="FP545" s="50"/>
      <c r="FQ545" s="50"/>
      <c r="FR545" s="50"/>
      <c r="FS545" s="50"/>
      <c r="FT545" s="50"/>
      <c r="FU545" s="50"/>
      <c r="FV545" s="50"/>
      <c r="FW545" s="50"/>
      <c r="FX545" s="50"/>
      <c r="FY545" s="50"/>
      <c r="FZ545" s="50"/>
      <c r="GA545" s="50"/>
      <c r="GB545" s="50"/>
      <c r="GC545" s="50"/>
      <c r="GD545" s="50"/>
      <c r="GE545" s="50"/>
      <c r="GF545" s="50"/>
    </row>
    <row r="546" spans="1:188">
      <c r="A546" s="147"/>
      <c r="B546" s="147"/>
      <c r="C546" s="51"/>
      <c r="D546" s="52"/>
      <c r="E546" s="47"/>
      <c r="F546" s="47"/>
      <c r="G546" s="47"/>
      <c r="H546" s="47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50"/>
      <c r="AT546" s="50"/>
      <c r="AU546" s="50"/>
      <c r="AV546" s="50"/>
      <c r="AW546" s="50"/>
      <c r="AX546" s="50"/>
      <c r="AY546" s="50"/>
      <c r="AZ546" s="50"/>
      <c r="BA546" s="50"/>
      <c r="BB546" s="50"/>
      <c r="BC546" s="50"/>
      <c r="BD546" s="50"/>
      <c r="BE546" s="50"/>
      <c r="BF546" s="50"/>
      <c r="BG546" s="50"/>
      <c r="BH546" s="50"/>
      <c r="BI546" s="50"/>
      <c r="BJ546" s="50"/>
      <c r="BK546" s="50"/>
      <c r="BL546" s="50"/>
      <c r="BM546" s="50"/>
      <c r="BN546" s="50"/>
      <c r="BO546" s="50"/>
      <c r="BP546" s="50"/>
      <c r="BQ546" s="50"/>
      <c r="BR546" s="50"/>
      <c r="BS546" s="50"/>
      <c r="BT546" s="50"/>
      <c r="BU546" s="50"/>
      <c r="BV546" s="50"/>
      <c r="BW546" s="50"/>
      <c r="BX546" s="50"/>
      <c r="BY546" s="50"/>
      <c r="BZ546" s="50"/>
      <c r="CA546" s="50"/>
      <c r="CB546" s="50"/>
      <c r="CC546" s="50"/>
      <c r="CD546" s="50"/>
      <c r="CE546" s="50"/>
      <c r="CF546" s="50"/>
      <c r="CG546" s="50"/>
      <c r="CH546" s="50"/>
      <c r="CI546" s="50"/>
      <c r="CJ546" s="50"/>
      <c r="CK546" s="50"/>
      <c r="CL546" s="50"/>
      <c r="CM546" s="50"/>
      <c r="CN546" s="50"/>
      <c r="CO546" s="50"/>
      <c r="CP546" s="50"/>
      <c r="CQ546" s="50"/>
      <c r="CR546" s="50"/>
      <c r="CS546" s="50"/>
      <c r="CT546" s="50"/>
      <c r="CU546" s="50"/>
      <c r="CV546" s="50"/>
      <c r="CW546" s="50"/>
      <c r="CX546" s="50"/>
      <c r="CY546" s="50"/>
      <c r="CZ546" s="50"/>
      <c r="DA546" s="50"/>
      <c r="DB546" s="50"/>
      <c r="DC546" s="50"/>
      <c r="DD546" s="50"/>
      <c r="DE546" s="50"/>
      <c r="DF546" s="50"/>
      <c r="DG546" s="50"/>
      <c r="DH546" s="50"/>
      <c r="DI546" s="50"/>
      <c r="DJ546" s="50"/>
      <c r="DK546" s="50"/>
      <c r="DL546" s="50"/>
      <c r="DM546" s="50"/>
      <c r="DN546" s="50"/>
      <c r="DO546" s="50"/>
      <c r="DP546" s="50"/>
      <c r="DQ546" s="50"/>
      <c r="DR546" s="50"/>
      <c r="DS546" s="50"/>
      <c r="DT546" s="50"/>
      <c r="DU546" s="50"/>
      <c r="DV546" s="50"/>
      <c r="DW546" s="50"/>
      <c r="DX546" s="50"/>
      <c r="DY546" s="50"/>
      <c r="DZ546" s="50"/>
      <c r="EA546" s="50"/>
      <c r="EB546" s="50"/>
      <c r="EC546" s="50"/>
      <c r="ED546" s="50"/>
      <c r="EE546" s="50"/>
      <c r="EF546" s="50"/>
      <c r="EG546" s="50"/>
      <c r="EH546" s="50"/>
      <c r="EI546" s="50"/>
      <c r="EJ546" s="50"/>
      <c r="EK546" s="50"/>
      <c r="EL546" s="50"/>
      <c r="EM546" s="50"/>
      <c r="EN546" s="50"/>
      <c r="EO546" s="50"/>
      <c r="EP546" s="50"/>
      <c r="EQ546" s="50"/>
      <c r="ER546" s="50"/>
      <c r="ES546" s="50"/>
      <c r="ET546" s="50"/>
      <c r="EU546" s="50"/>
      <c r="EV546" s="50"/>
      <c r="EW546" s="50"/>
      <c r="EX546" s="50"/>
      <c r="EY546" s="50"/>
      <c r="EZ546" s="50"/>
      <c r="FA546" s="50"/>
      <c r="FB546" s="50"/>
      <c r="FC546" s="50"/>
      <c r="FD546" s="50"/>
      <c r="FE546" s="50"/>
      <c r="FF546" s="50"/>
      <c r="FG546" s="50"/>
      <c r="FH546" s="50"/>
      <c r="FI546" s="50"/>
      <c r="FJ546" s="50"/>
      <c r="FK546" s="50"/>
      <c r="FL546" s="50"/>
      <c r="FM546" s="50"/>
      <c r="FN546" s="50"/>
      <c r="FO546" s="50"/>
      <c r="FP546" s="50"/>
      <c r="FQ546" s="50"/>
      <c r="FR546" s="50"/>
      <c r="FS546" s="50"/>
      <c r="FT546" s="50"/>
      <c r="FU546" s="50"/>
      <c r="FV546" s="50"/>
      <c r="FW546" s="50"/>
      <c r="FX546" s="50"/>
      <c r="FY546" s="50"/>
      <c r="FZ546" s="50"/>
      <c r="GA546" s="50"/>
      <c r="GB546" s="50"/>
      <c r="GC546" s="50"/>
      <c r="GD546" s="50"/>
      <c r="GE546" s="50"/>
      <c r="GF546" s="50"/>
    </row>
    <row r="547" spans="1:188">
      <c r="A547" s="147"/>
      <c r="B547" s="147"/>
      <c r="C547" s="51"/>
      <c r="D547" s="52"/>
      <c r="E547" s="47"/>
      <c r="F547" s="47"/>
      <c r="G547" s="47"/>
      <c r="H547" s="47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50"/>
      <c r="AW547" s="50"/>
      <c r="AX547" s="50"/>
      <c r="AY547" s="50"/>
      <c r="AZ547" s="50"/>
      <c r="BA547" s="50"/>
      <c r="BB547" s="50"/>
      <c r="BC547" s="50"/>
      <c r="BD547" s="50"/>
      <c r="BE547" s="50"/>
      <c r="BF547" s="50"/>
      <c r="BG547" s="50"/>
      <c r="BH547" s="50"/>
      <c r="BI547" s="50"/>
      <c r="BJ547" s="50"/>
      <c r="BK547" s="50"/>
      <c r="BL547" s="50"/>
      <c r="BM547" s="50"/>
      <c r="BN547" s="50"/>
      <c r="BO547" s="50"/>
      <c r="BP547" s="50"/>
      <c r="BQ547" s="50"/>
      <c r="BR547" s="50"/>
      <c r="BS547" s="50"/>
      <c r="BT547" s="50"/>
      <c r="BU547" s="50"/>
      <c r="BV547" s="50"/>
      <c r="BW547" s="50"/>
      <c r="BX547" s="50"/>
      <c r="BY547" s="50"/>
      <c r="BZ547" s="50"/>
      <c r="CA547" s="50"/>
      <c r="CB547" s="50"/>
      <c r="CC547" s="50"/>
      <c r="CD547" s="50"/>
      <c r="CE547" s="50"/>
      <c r="CF547" s="50"/>
      <c r="CG547" s="50"/>
      <c r="CH547" s="50"/>
      <c r="CI547" s="50"/>
      <c r="CJ547" s="50"/>
      <c r="CK547" s="50"/>
      <c r="CL547" s="50"/>
      <c r="CM547" s="50"/>
      <c r="CN547" s="50"/>
      <c r="CO547" s="50"/>
      <c r="CP547" s="50"/>
      <c r="CQ547" s="50"/>
      <c r="CR547" s="50"/>
      <c r="CS547" s="50"/>
      <c r="CT547" s="50"/>
      <c r="CU547" s="50"/>
      <c r="CV547" s="50"/>
      <c r="CW547" s="50"/>
      <c r="CX547" s="50"/>
      <c r="CY547" s="50"/>
      <c r="CZ547" s="50"/>
      <c r="DA547" s="50"/>
      <c r="DB547" s="50"/>
      <c r="DC547" s="50"/>
      <c r="DD547" s="50"/>
      <c r="DE547" s="50"/>
      <c r="DF547" s="50"/>
      <c r="DG547" s="50"/>
      <c r="DH547" s="50"/>
      <c r="DI547" s="50"/>
      <c r="DJ547" s="50"/>
      <c r="DK547" s="50"/>
      <c r="DL547" s="50"/>
      <c r="DM547" s="50"/>
      <c r="DN547" s="50"/>
      <c r="DO547" s="50"/>
      <c r="DP547" s="50"/>
      <c r="DQ547" s="50"/>
      <c r="DR547" s="50"/>
      <c r="DS547" s="50"/>
      <c r="DT547" s="50"/>
      <c r="DU547" s="50"/>
      <c r="DV547" s="50"/>
      <c r="DW547" s="50"/>
      <c r="DX547" s="50"/>
      <c r="DY547" s="50"/>
      <c r="DZ547" s="50"/>
      <c r="EA547" s="50"/>
      <c r="EB547" s="50"/>
      <c r="EC547" s="50"/>
      <c r="ED547" s="50"/>
      <c r="EE547" s="50"/>
      <c r="EF547" s="50"/>
      <c r="EG547" s="50"/>
      <c r="EH547" s="50"/>
      <c r="EI547" s="50"/>
      <c r="EJ547" s="50"/>
      <c r="EK547" s="50"/>
      <c r="EL547" s="50"/>
      <c r="EM547" s="50"/>
      <c r="EN547" s="50"/>
      <c r="EO547" s="50"/>
      <c r="EP547" s="50"/>
      <c r="EQ547" s="50"/>
      <c r="ER547" s="50"/>
      <c r="ES547" s="50"/>
      <c r="ET547" s="50"/>
      <c r="EU547" s="50"/>
      <c r="EV547" s="50"/>
      <c r="EW547" s="50"/>
      <c r="EX547" s="50"/>
      <c r="EY547" s="50"/>
      <c r="EZ547" s="50"/>
      <c r="FA547" s="50"/>
      <c r="FB547" s="50"/>
      <c r="FC547" s="50"/>
      <c r="FD547" s="50"/>
      <c r="FE547" s="50"/>
      <c r="FF547" s="50"/>
      <c r="FG547" s="50"/>
      <c r="FH547" s="50"/>
      <c r="FI547" s="50"/>
      <c r="FJ547" s="50"/>
      <c r="FK547" s="50"/>
      <c r="FL547" s="50"/>
      <c r="FM547" s="50"/>
      <c r="FN547" s="50"/>
      <c r="FO547" s="50"/>
      <c r="FP547" s="50"/>
      <c r="FQ547" s="50"/>
      <c r="FR547" s="50"/>
      <c r="FS547" s="50"/>
      <c r="FT547" s="50"/>
      <c r="FU547" s="50"/>
      <c r="FV547" s="50"/>
      <c r="FW547" s="50"/>
      <c r="FX547" s="50"/>
      <c r="FY547" s="50"/>
      <c r="FZ547" s="50"/>
      <c r="GA547" s="50"/>
      <c r="GB547" s="50"/>
      <c r="GC547" s="50"/>
      <c r="GD547" s="50"/>
      <c r="GE547" s="50"/>
      <c r="GF547" s="50"/>
    </row>
    <row r="548" spans="1:188">
      <c r="A548" s="147"/>
      <c r="B548" s="147"/>
      <c r="C548" s="51"/>
      <c r="D548" s="52"/>
      <c r="E548" s="47"/>
      <c r="F548" s="47"/>
      <c r="G548" s="47"/>
      <c r="H548" s="47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50"/>
      <c r="AT548" s="50"/>
      <c r="AU548" s="50"/>
      <c r="AV548" s="50"/>
      <c r="AW548" s="50"/>
      <c r="AX548" s="50"/>
      <c r="AY548" s="50"/>
      <c r="AZ548" s="50"/>
      <c r="BA548" s="50"/>
      <c r="BB548" s="50"/>
      <c r="BC548" s="50"/>
      <c r="BD548" s="50"/>
      <c r="BE548" s="50"/>
      <c r="BF548" s="50"/>
      <c r="BG548" s="50"/>
      <c r="BH548" s="50"/>
      <c r="BI548" s="50"/>
      <c r="BJ548" s="50"/>
      <c r="BK548" s="50"/>
      <c r="BL548" s="50"/>
      <c r="BM548" s="50"/>
      <c r="BN548" s="50"/>
      <c r="BO548" s="50"/>
      <c r="BP548" s="50"/>
      <c r="BQ548" s="50"/>
      <c r="BR548" s="50"/>
      <c r="BS548" s="50"/>
      <c r="BT548" s="50"/>
      <c r="BU548" s="50"/>
      <c r="BV548" s="50"/>
      <c r="BW548" s="50"/>
      <c r="BX548" s="50"/>
      <c r="BY548" s="50"/>
      <c r="BZ548" s="50"/>
      <c r="CA548" s="50"/>
      <c r="CB548" s="50"/>
      <c r="CC548" s="50"/>
      <c r="CD548" s="50"/>
      <c r="CE548" s="50"/>
      <c r="CF548" s="50"/>
      <c r="CG548" s="50"/>
      <c r="CH548" s="50"/>
      <c r="CI548" s="50"/>
      <c r="CJ548" s="50"/>
      <c r="CK548" s="50"/>
      <c r="CL548" s="50"/>
      <c r="CM548" s="50"/>
      <c r="CN548" s="50"/>
      <c r="CO548" s="50"/>
      <c r="CP548" s="50"/>
      <c r="CQ548" s="50"/>
      <c r="CR548" s="50"/>
      <c r="CS548" s="50"/>
      <c r="CT548" s="50"/>
      <c r="CU548" s="50"/>
      <c r="CV548" s="50"/>
      <c r="CW548" s="50"/>
      <c r="CX548" s="50"/>
      <c r="CY548" s="50"/>
      <c r="CZ548" s="50"/>
      <c r="DA548" s="50"/>
      <c r="DB548" s="50"/>
      <c r="DC548" s="50"/>
      <c r="DD548" s="50"/>
      <c r="DE548" s="50"/>
      <c r="DF548" s="50"/>
      <c r="DG548" s="50"/>
      <c r="DH548" s="50"/>
      <c r="DI548" s="50"/>
      <c r="DJ548" s="50"/>
      <c r="DK548" s="50"/>
      <c r="DL548" s="50"/>
      <c r="DM548" s="50"/>
      <c r="DN548" s="50"/>
      <c r="DO548" s="50"/>
      <c r="DP548" s="50"/>
      <c r="DQ548" s="50"/>
      <c r="DR548" s="50"/>
      <c r="DS548" s="50"/>
      <c r="DT548" s="50"/>
      <c r="DU548" s="50"/>
      <c r="DV548" s="50"/>
      <c r="DW548" s="50"/>
      <c r="DX548" s="50"/>
      <c r="DY548" s="50"/>
      <c r="DZ548" s="50"/>
      <c r="EA548" s="50"/>
      <c r="EB548" s="50"/>
      <c r="EC548" s="50"/>
      <c r="ED548" s="50"/>
      <c r="EE548" s="50"/>
      <c r="EF548" s="50"/>
      <c r="EG548" s="50"/>
      <c r="EH548" s="50"/>
      <c r="EI548" s="50"/>
      <c r="EJ548" s="50"/>
      <c r="EK548" s="50"/>
      <c r="EL548" s="50"/>
      <c r="EM548" s="50"/>
      <c r="EN548" s="50"/>
      <c r="EO548" s="50"/>
      <c r="EP548" s="50"/>
      <c r="EQ548" s="50"/>
      <c r="ER548" s="50"/>
      <c r="ES548" s="50"/>
      <c r="ET548" s="50"/>
      <c r="EU548" s="50"/>
      <c r="EV548" s="50"/>
      <c r="EW548" s="50"/>
      <c r="EX548" s="50"/>
      <c r="EY548" s="50"/>
      <c r="EZ548" s="50"/>
      <c r="FA548" s="50"/>
      <c r="FB548" s="50"/>
      <c r="FC548" s="50"/>
      <c r="FD548" s="50"/>
      <c r="FE548" s="50"/>
      <c r="FF548" s="50"/>
      <c r="FG548" s="50"/>
      <c r="FH548" s="50"/>
      <c r="FI548" s="50"/>
      <c r="FJ548" s="50"/>
      <c r="FK548" s="50"/>
      <c r="FL548" s="50"/>
      <c r="FM548" s="50"/>
      <c r="FN548" s="50"/>
      <c r="FO548" s="50"/>
      <c r="FP548" s="50"/>
      <c r="FQ548" s="50"/>
      <c r="FR548" s="50"/>
      <c r="FS548" s="50"/>
      <c r="FT548" s="50"/>
      <c r="FU548" s="50"/>
      <c r="FV548" s="50"/>
      <c r="FW548" s="50"/>
      <c r="FX548" s="50"/>
      <c r="FY548" s="50"/>
      <c r="FZ548" s="50"/>
      <c r="GA548" s="50"/>
      <c r="GB548" s="50"/>
      <c r="GC548" s="50"/>
      <c r="GD548" s="50"/>
      <c r="GE548" s="50"/>
      <c r="GF548" s="50"/>
    </row>
    <row r="549" spans="1:188">
      <c r="A549" s="147"/>
      <c r="B549" s="147"/>
      <c r="C549" s="51"/>
      <c r="D549" s="52"/>
      <c r="E549" s="47"/>
      <c r="F549" s="47"/>
      <c r="G549" s="47"/>
      <c r="H549" s="47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50"/>
      <c r="AT549" s="50"/>
      <c r="AU549" s="50"/>
      <c r="AV549" s="50"/>
      <c r="AW549" s="50"/>
      <c r="AX549" s="50"/>
      <c r="AY549" s="50"/>
      <c r="AZ549" s="50"/>
      <c r="BA549" s="50"/>
      <c r="BB549" s="50"/>
      <c r="BC549" s="50"/>
      <c r="BD549" s="50"/>
      <c r="BE549" s="50"/>
      <c r="BF549" s="50"/>
      <c r="BG549" s="50"/>
      <c r="BH549" s="50"/>
      <c r="BI549" s="50"/>
      <c r="BJ549" s="50"/>
      <c r="BK549" s="50"/>
      <c r="BL549" s="50"/>
      <c r="BM549" s="50"/>
      <c r="BN549" s="50"/>
      <c r="BO549" s="50"/>
      <c r="BP549" s="50"/>
      <c r="BQ549" s="50"/>
      <c r="BR549" s="50"/>
      <c r="BS549" s="50"/>
      <c r="BT549" s="50"/>
      <c r="BU549" s="50"/>
      <c r="BV549" s="50"/>
      <c r="BW549" s="50"/>
      <c r="BX549" s="50"/>
      <c r="BY549" s="50"/>
      <c r="BZ549" s="50"/>
      <c r="CA549" s="50"/>
      <c r="CB549" s="50"/>
      <c r="CC549" s="50"/>
      <c r="CD549" s="50"/>
      <c r="CE549" s="50"/>
      <c r="CF549" s="50"/>
      <c r="CG549" s="50"/>
      <c r="CH549" s="50"/>
      <c r="CI549" s="50"/>
      <c r="CJ549" s="50"/>
      <c r="CK549" s="50"/>
      <c r="CL549" s="50"/>
      <c r="CM549" s="50"/>
      <c r="CN549" s="50"/>
      <c r="CO549" s="50"/>
      <c r="CP549" s="50"/>
      <c r="CQ549" s="50"/>
      <c r="CR549" s="50"/>
      <c r="CS549" s="50"/>
      <c r="CT549" s="50"/>
      <c r="CU549" s="50"/>
      <c r="CV549" s="50"/>
      <c r="CW549" s="50"/>
      <c r="CX549" s="50"/>
      <c r="CY549" s="50"/>
      <c r="CZ549" s="50"/>
      <c r="DA549" s="50"/>
      <c r="DB549" s="50"/>
      <c r="DC549" s="50"/>
      <c r="DD549" s="50"/>
      <c r="DE549" s="50"/>
      <c r="DF549" s="50"/>
      <c r="DG549" s="50"/>
      <c r="DH549" s="50"/>
      <c r="DI549" s="50"/>
      <c r="DJ549" s="50"/>
      <c r="DK549" s="50"/>
      <c r="DL549" s="50"/>
      <c r="DM549" s="50"/>
      <c r="DN549" s="50"/>
      <c r="DO549" s="50"/>
      <c r="DP549" s="50"/>
      <c r="DQ549" s="50"/>
      <c r="DR549" s="50"/>
      <c r="DS549" s="50"/>
      <c r="DT549" s="50"/>
      <c r="DU549" s="50"/>
      <c r="DV549" s="50"/>
      <c r="DW549" s="50"/>
      <c r="DX549" s="50"/>
      <c r="DY549" s="50"/>
      <c r="DZ549" s="50"/>
      <c r="EA549" s="50"/>
      <c r="EB549" s="50"/>
      <c r="EC549" s="50"/>
      <c r="ED549" s="50"/>
      <c r="EE549" s="50"/>
      <c r="EF549" s="50"/>
      <c r="EG549" s="50"/>
      <c r="EH549" s="50"/>
      <c r="EI549" s="50"/>
      <c r="EJ549" s="50"/>
      <c r="EK549" s="50"/>
      <c r="EL549" s="50"/>
      <c r="EM549" s="50"/>
      <c r="EN549" s="50"/>
      <c r="EO549" s="50"/>
      <c r="EP549" s="50"/>
      <c r="EQ549" s="50"/>
      <c r="ER549" s="50"/>
      <c r="ES549" s="50"/>
      <c r="ET549" s="50"/>
      <c r="EU549" s="50"/>
      <c r="EV549" s="50"/>
      <c r="EW549" s="50"/>
      <c r="EX549" s="50"/>
      <c r="EY549" s="50"/>
      <c r="EZ549" s="50"/>
      <c r="FA549" s="50"/>
      <c r="FB549" s="50"/>
      <c r="FC549" s="50"/>
      <c r="FD549" s="50"/>
      <c r="FE549" s="50"/>
      <c r="FF549" s="50"/>
      <c r="FG549" s="50"/>
      <c r="FH549" s="50"/>
      <c r="FI549" s="50"/>
      <c r="FJ549" s="50"/>
      <c r="FK549" s="50"/>
      <c r="FL549" s="50"/>
      <c r="FM549" s="50"/>
      <c r="FN549" s="50"/>
      <c r="FO549" s="50"/>
      <c r="FP549" s="50"/>
      <c r="FQ549" s="50"/>
      <c r="FR549" s="50"/>
      <c r="FS549" s="50"/>
      <c r="FT549" s="50"/>
      <c r="FU549" s="50"/>
      <c r="FV549" s="50"/>
      <c r="FW549" s="50"/>
      <c r="FX549" s="50"/>
      <c r="FY549" s="50"/>
      <c r="FZ549" s="50"/>
      <c r="GA549" s="50"/>
      <c r="GB549" s="50"/>
      <c r="GC549" s="50"/>
      <c r="GD549" s="50"/>
      <c r="GE549" s="50"/>
      <c r="GF549" s="50"/>
    </row>
    <row r="550" spans="1:188">
      <c r="A550" s="147"/>
      <c r="B550" s="147"/>
      <c r="C550" s="51"/>
      <c r="D550" s="52"/>
      <c r="E550" s="47"/>
      <c r="F550" s="47"/>
      <c r="G550" s="47"/>
      <c r="H550" s="47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50"/>
      <c r="AW550" s="50"/>
      <c r="AX550" s="50"/>
      <c r="AY550" s="50"/>
      <c r="AZ550" s="50"/>
      <c r="BA550" s="50"/>
      <c r="BB550" s="50"/>
      <c r="BC550" s="50"/>
      <c r="BD550" s="50"/>
      <c r="BE550" s="50"/>
      <c r="BF550" s="50"/>
      <c r="BG550" s="50"/>
      <c r="BH550" s="50"/>
      <c r="BI550" s="50"/>
      <c r="BJ550" s="50"/>
      <c r="BK550" s="50"/>
      <c r="BL550" s="50"/>
      <c r="BM550" s="50"/>
      <c r="BN550" s="50"/>
      <c r="BO550" s="50"/>
      <c r="BP550" s="50"/>
      <c r="BQ550" s="50"/>
      <c r="BR550" s="50"/>
      <c r="BS550" s="50"/>
      <c r="BT550" s="50"/>
      <c r="BU550" s="50"/>
      <c r="BV550" s="50"/>
      <c r="BW550" s="50"/>
      <c r="BX550" s="50"/>
      <c r="BY550" s="50"/>
      <c r="BZ550" s="50"/>
      <c r="CA550" s="50"/>
      <c r="CB550" s="50"/>
      <c r="CC550" s="50"/>
      <c r="CD550" s="50"/>
      <c r="CE550" s="50"/>
      <c r="CF550" s="50"/>
      <c r="CG550" s="50"/>
      <c r="CH550" s="50"/>
      <c r="CI550" s="50"/>
      <c r="CJ550" s="50"/>
      <c r="CK550" s="50"/>
      <c r="CL550" s="50"/>
      <c r="CM550" s="50"/>
      <c r="CN550" s="50"/>
      <c r="CO550" s="50"/>
      <c r="CP550" s="50"/>
      <c r="CQ550" s="50"/>
      <c r="CR550" s="50"/>
      <c r="CS550" s="50"/>
      <c r="CT550" s="50"/>
      <c r="CU550" s="50"/>
      <c r="CV550" s="50"/>
      <c r="CW550" s="50"/>
      <c r="CX550" s="50"/>
      <c r="CY550" s="50"/>
      <c r="CZ550" s="50"/>
      <c r="DA550" s="50"/>
      <c r="DB550" s="50"/>
      <c r="DC550" s="50"/>
      <c r="DD550" s="50"/>
      <c r="DE550" s="50"/>
      <c r="DF550" s="50"/>
      <c r="DG550" s="50"/>
      <c r="DH550" s="50"/>
      <c r="DI550" s="50"/>
      <c r="DJ550" s="50"/>
      <c r="DK550" s="50"/>
      <c r="DL550" s="50"/>
      <c r="DM550" s="50"/>
      <c r="DN550" s="50"/>
      <c r="DO550" s="50"/>
      <c r="DP550" s="50"/>
      <c r="DQ550" s="50"/>
      <c r="DR550" s="50"/>
      <c r="DS550" s="50"/>
      <c r="DT550" s="50"/>
      <c r="DU550" s="50"/>
      <c r="DV550" s="50"/>
      <c r="DW550" s="50"/>
      <c r="DX550" s="50"/>
      <c r="DY550" s="50"/>
      <c r="DZ550" s="50"/>
      <c r="EA550" s="50"/>
      <c r="EB550" s="50"/>
      <c r="EC550" s="50"/>
      <c r="ED550" s="50"/>
      <c r="EE550" s="50"/>
      <c r="EF550" s="50"/>
      <c r="EG550" s="50"/>
      <c r="EH550" s="50"/>
      <c r="EI550" s="50"/>
      <c r="EJ550" s="50"/>
      <c r="EK550" s="50"/>
      <c r="EL550" s="50"/>
      <c r="EM550" s="50"/>
      <c r="EN550" s="50"/>
      <c r="EO550" s="50"/>
      <c r="EP550" s="50"/>
      <c r="EQ550" s="50"/>
      <c r="ER550" s="50"/>
      <c r="ES550" s="50"/>
      <c r="ET550" s="50"/>
      <c r="EU550" s="50"/>
      <c r="EV550" s="50"/>
      <c r="EW550" s="50"/>
      <c r="EX550" s="50"/>
      <c r="EY550" s="50"/>
      <c r="EZ550" s="50"/>
      <c r="FA550" s="50"/>
      <c r="FB550" s="50"/>
      <c r="FC550" s="50"/>
      <c r="FD550" s="50"/>
      <c r="FE550" s="50"/>
      <c r="FF550" s="50"/>
      <c r="FG550" s="50"/>
      <c r="FH550" s="50"/>
      <c r="FI550" s="50"/>
      <c r="FJ550" s="50"/>
      <c r="FK550" s="50"/>
      <c r="FL550" s="50"/>
      <c r="FM550" s="50"/>
      <c r="FN550" s="50"/>
      <c r="FO550" s="50"/>
      <c r="FP550" s="50"/>
      <c r="FQ550" s="50"/>
      <c r="FR550" s="50"/>
      <c r="FS550" s="50"/>
      <c r="FT550" s="50"/>
      <c r="FU550" s="50"/>
      <c r="FV550" s="50"/>
      <c r="FW550" s="50"/>
      <c r="FX550" s="50"/>
      <c r="FY550" s="50"/>
      <c r="FZ550" s="50"/>
      <c r="GA550" s="50"/>
      <c r="GB550" s="50"/>
      <c r="GC550" s="50"/>
      <c r="GD550" s="50"/>
      <c r="GE550" s="50"/>
      <c r="GF550" s="50"/>
    </row>
    <row r="551" spans="1:188">
      <c r="A551" s="147"/>
      <c r="B551" s="147"/>
      <c r="C551" s="51"/>
      <c r="D551" s="52"/>
      <c r="E551" s="47"/>
      <c r="F551" s="47"/>
      <c r="G551" s="47"/>
      <c r="H551" s="47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50"/>
      <c r="AT551" s="50"/>
      <c r="AU551" s="50"/>
      <c r="AV551" s="50"/>
      <c r="AW551" s="50"/>
      <c r="AX551" s="50"/>
      <c r="AY551" s="50"/>
      <c r="AZ551" s="50"/>
      <c r="BA551" s="50"/>
      <c r="BB551" s="50"/>
      <c r="BC551" s="50"/>
      <c r="BD551" s="50"/>
      <c r="BE551" s="50"/>
      <c r="BF551" s="50"/>
      <c r="BG551" s="50"/>
      <c r="BH551" s="50"/>
      <c r="BI551" s="50"/>
      <c r="BJ551" s="50"/>
      <c r="BK551" s="50"/>
      <c r="BL551" s="50"/>
      <c r="BM551" s="50"/>
      <c r="BN551" s="50"/>
      <c r="BO551" s="50"/>
      <c r="BP551" s="50"/>
      <c r="BQ551" s="50"/>
      <c r="BR551" s="50"/>
      <c r="BS551" s="50"/>
      <c r="BT551" s="50"/>
      <c r="BU551" s="50"/>
      <c r="BV551" s="50"/>
      <c r="BW551" s="50"/>
      <c r="BX551" s="50"/>
      <c r="BY551" s="50"/>
      <c r="BZ551" s="50"/>
      <c r="CA551" s="50"/>
      <c r="CB551" s="50"/>
      <c r="CC551" s="50"/>
      <c r="CD551" s="50"/>
      <c r="CE551" s="50"/>
      <c r="CF551" s="50"/>
      <c r="CG551" s="50"/>
      <c r="CH551" s="50"/>
      <c r="CI551" s="50"/>
      <c r="CJ551" s="50"/>
      <c r="CK551" s="50"/>
      <c r="CL551" s="50"/>
      <c r="CM551" s="50"/>
      <c r="CN551" s="50"/>
      <c r="CO551" s="50"/>
      <c r="CP551" s="50"/>
      <c r="CQ551" s="50"/>
      <c r="CR551" s="50"/>
      <c r="CS551" s="50"/>
      <c r="CT551" s="50"/>
      <c r="CU551" s="50"/>
      <c r="CV551" s="50"/>
      <c r="CW551" s="50"/>
      <c r="CX551" s="50"/>
      <c r="CY551" s="50"/>
      <c r="CZ551" s="50"/>
      <c r="DA551" s="50"/>
      <c r="DB551" s="50"/>
      <c r="DC551" s="50"/>
      <c r="DD551" s="50"/>
      <c r="DE551" s="50"/>
      <c r="DF551" s="50"/>
      <c r="DG551" s="50"/>
      <c r="DH551" s="50"/>
      <c r="DI551" s="50"/>
      <c r="DJ551" s="50"/>
      <c r="DK551" s="50"/>
      <c r="DL551" s="50"/>
      <c r="DM551" s="50"/>
      <c r="DN551" s="50"/>
      <c r="DO551" s="50"/>
      <c r="DP551" s="50"/>
      <c r="DQ551" s="50"/>
      <c r="DR551" s="50"/>
      <c r="DS551" s="50"/>
      <c r="DT551" s="50"/>
      <c r="DU551" s="50"/>
      <c r="DV551" s="50"/>
      <c r="DW551" s="50"/>
      <c r="DX551" s="50"/>
      <c r="DY551" s="50"/>
      <c r="DZ551" s="50"/>
      <c r="EA551" s="50"/>
      <c r="EB551" s="50"/>
      <c r="EC551" s="50"/>
      <c r="ED551" s="50"/>
      <c r="EE551" s="50"/>
      <c r="EF551" s="50"/>
      <c r="EG551" s="50"/>
      <c r="EH551" s="50"/>
      <c r="EI551" s="50"/>
      <c r="EJ551" s="50"/>
      <c r="EK551" s="50"/>
      <c r="EL551" s="50"/>
      <c r="EM551" s="50"/>
      <c r="EN551" s="50"/>
      <c r="EO551" s="50"/>
      <c r="EP551" s="50"/>
      <c r="EQ551" s="50"/>
      <c r="ER551" s="50"/>
      <c r="ES551" s="50"/>
      <c r="ET551" s="50"/>
      <c r="EU551" s="50"/>
      <c r="EV551" s="50"/>
      <c r="EW551" s="50"/>
      <c r="EX551" s="50"/>
      <c r="EY551" s="50"/>
      <c r="EZ551" s="50"/>
      <c r="FA551" s="50"/>
      <c r="FB551" s="50"/>
      <c r="FC551" s="50"/>
      <c r="FD551" s="50"/>
      <c r="FE551" s="50"/>
      <c r="FF551" s="50"/>
      <c r="FG551" s="50"/>
      <c r="FH551" s="50"/>
      <c r="FI551" s="50"/>
      <c r="FJ551" s="50"/>
      <c r="FK551" s="50"/>
      <c r="FL551" s="50"/>
      <c r="FM551" s="50"/>
      <c r="FN551" s="50"/>
      <c r="FO551" s="50"/>
      <c r="FP551" s="50"/>
      <c r="FQ551" s="50"/>
      <c r="FR551" s="50"/>
      <c r="FS551" s="50"/>
      <c r="FT551" s="50"/>
      <c r="FU551" s="50"/>
      <c r="FV551" s="50"/>
      <c r="FW551" s="50"/>
      <c r="FX551" s="50"/>
      <c r="FY551" s="50"/>
      <c r="FZ551" s="50"/>
      <c r="GA551" s="50"/>
      <c r="GB551" s="50"/>
      <c r="GC551" s="50"/>
      <c r="GD551" s="50"/>
      <c r="GE551" s="50"/>
      <c r="GF551" s="50"/>
    </row>
    <row r="552" spans="1:188">
      <c r="A552" s="147"/>
      <c r="B552" s="147"/>
      <c r="C552" s="51"/>
      <c r="D552" s="52"/>
      <c r="E552" s="47"/>
      <c r="F552" s="47"/>
      <c r="G552" s="47"/>
      <c r="H552" s="47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50"/>
      <c r="AV552" s="50"/>
      <c r="AW552" s="50"/>
      <c r="AX552" s="50"/>
      <c r="AY552" s="50"/>
      <c r="AZ552" s="50"/>
      <c r="BA552" s="50"/>
      <c r="BB552" s="50"/>
      <c r="BC552" s="50"/>
      <c r="BD552" s="50"/>
      <c r="BE552" s="50"/>
      <c r="BF552" s="50"/>
      <c r="BG552" s="50"/>
      <c r="BH552" s="50"/>
      <c r="BI552" s="50"/>
      <c r="BJ552" s="50"/>
      <c r="BK552" s="50"/>
      <c r="BL552" s="50"/>
      <c r="BM552" s="50"/>
      <c r="BN552" s="50"/>
      <c r="BO552" s="50"/>
      <c r="BP552" s="50"/>
      <c r="BQ552" s="50"/>
      <c r="BR552" s="50"/>
      <c r="BS552" s="50"/>
      <c r="BT552" s="50"/>
      <c r="BU552" s="50"/>
      <c r="BV552" s="50"/>
      <c r="BW552" s="50"/>
      <c r="BX552" s="50"/>
      <c r="BY552" s="50"/>
      <c r="BZ552" s="50"/>
      <c r="CA552" s="50"/>
      <c r="CB552" s="50"/>
      <c r="CC552" s="50"/>
      <c r="CD552" s="50"/>
      <c r="CE552" s="50"/>
      <c r="CF552" s="50"/>
      <c r="CG552" s="50"/>
      <c r="CH552" s="50"/>
      <c r="CI552" s="50"/>
      <c r="CJ552" s="50"/>
      <c r="CK552" s="50"/>
      <c r="CL552" s="50"/>
      <c r="CM552" s="50"/>
      <c r="CN552" s="50"/>
      <c r="CO552" s="50"/>
      <c r="CP552" s="50"/>
      <c r="CQ552" s="50"/>
      <c r="CR552" s="50"/>
      <c r="CS552" s="50"/>
      <c r="CT552" s="50"/>
      <c r="CU552" s="50"/>
      <c r="CV552" s="50"/>
      <c r="CW552" s="50"/>
      <c r="CX552" s="50"/>
      <c r="CY552" s="50"/>
      <c r="CZ552" s="50"/>
      <c r="DA552" s="50"/>
      <c r="DB552" s="50"/>
      <c r="DC552" s="50"/>
      <c r="DD552" s="50"/>
      <c r="DE552" s="50"/>
      <c r="DF552" s="50"/>
      <c r="DG552" s="50"/>
      <c r="DH552" s="50"/>
      <c r="DI552" s="50"/>
      <c r="DJ552" s="50"/>
      <c r="DK552" s="50"/>
      <c r="DL552" s="50"/>
      <c r="DM552" s="50"/>
      <c r="DN552" s="50"/>
      <c r="DO552" s="50"/>
      <c r="DP552" s="50"/>
      <c r="DQ552" s="50"/>
      <c r="DR552" s="50"/>
      <c r="DS552" s="50"/>
      <c r="DT552" s="50"/>
      <c r="DU552" s="50"/>
      <c r="DV552" s="50"/>
      <c r="DW552" s="50"/>
      <c r="DX552" s="50"/>
      <c r="DY552" s="50"/>
      <c r="DZ552" s="50"/>
      <c r="EA552" s="50"/>
      <c r="EB552" s="50"/>
      <c r="EC552" s="50"/>
      <c r="ED552" s="50"/>
      <c r="EE552" s="50"/>
      <c r="EF552" s="50"/>
      <c r="EG552" s="50"/>
      <c r="EH552" s="50"/>
      <c r="EI552" s="50"/>
      <c r="EJ552" s="50"/>
      <c r="EK552" s="50"/>
      <c r="EL552" s="50"/>
      <c r="EM552" s="50"/>
      <c r="EN552" s="50"/>
      <c r="EO552" s="50"/>
      <c r="EP552" s="50"/>
      <c r="EQ552" s="50"/>
      <c r="ER552" s="50"/>
      <c r="ES552" s="50"/>
      <c r="ET552" s="50"/>
      <c r="EU552" s="50"/>
      <c r="EV552" s="50"/>
      <c r="EW552" s="50"/>
      <c r="EX552" s="50"/>
      <c r="EY552" s="50"/>
      <c r="EZ552" s="50"/>
      <c r="FA552" s="50"/>
      <c r="FB552" s="50"/>
      <c r="FC552" s="50"/>
      <c r="FD552" s="50"/>
      <c r="FE552" s="50"/>
      <c r="FF552" s="50"/>
      <c r="FG552" s="50"/>
      <c r="FH552" s="50"/>
      <c r="FI552" s="50"/>
      <c r="FJ552" s="50"/>
      <c r="FK552" s="50"/>
      <c r="FL552" s="50"/>
      <c r="FM552" s="50"/>
      <c r="FN552" s="50"/>
      <c r="FO552" s="50"/>
      <c r="FP552" s="50"/>
      <c r="FQ552" s="50"/>
      <c r="FR552" s="50"/>
      <c r="FS552" s="50"/>
      <c r="FT552" s="50"/>
      <c r="FU552" s="50"/>
      <c r="FV552" s="50"/>
      <c r="FW552" s="50"/>
      <c r="FX552" s="50"/>
      <c r="FY552" s="50"/>
      <c r="FZ552" s="50"/>
      <c r="GA552" s="50"/>
      <c r="GB552" s="50"/>
      <c r="GC552" s="50"/>
      <c r="GD552" s="50"/>
      <c r="GE552" s="50"/>
      <c r="GF552" s="50"/>
    </row>
    <row r="553" spans="1:188">
      <c r="A553" s="147"/>
      <c r="B553" s="147"/>
      <c r="C553" s="51"/>
      <c r="D553" s="52"/>
      <c r="E553" s="47"/>
      <c r="F553" s="47"/>
      <c r="G553" s="47"/>
      <c r="H553" s="47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  <c r="BL553" s="50"/>
      <c r="BM553" s="50"/>
      <c r="BN553" s="50"/>
      <c r="BO553" s="50"/>
      <c r="BP553" s="50"/>
      <c r="BQ553" s="50"/>
      <c r="BR553" s="50"/>
      <c r="BS553" s="50"/>
      <c r="BT553" s="50"/>
      <c r="BU553" s="50"/>
      <c r="BV553" s="50"/>
      <c r="BW553" s="50"/>
      <c r="BX553" s="50"/>
      <c r="BY553" s="50"/>
      <c r="BZ553" s="50"/>
      <c r="CA553" s="50"/>
      <c r="CB553" s="50"/>
      <c r="CC553" s="50"/>
      <c r="CD553" s="50"/>
      <c r="CE553" s="50"/>
      <c r="CF553" s="50"/>
      <c r="CG553" s="50"/>
      <c r="CH553" s="50"/>
      <c r="CI553" s="50"/>
      <c r="CJ553" s="50"/>
      <c r="CK553" s="50"/>
      <c r="CL553" s="50"/>
      <c r="CM553" s="50"/>
      <c r="CN553" s="50"/>
      <c r="CO553" s="50"/>
      <c r="CP553" s="50"/>
      <c r="CQ553" s="50"/>
      <c r="CR553" s="50"/>
      <c r="CS553" s="50"/>
      <c r="CT553" s="50"/>
      <c r="CU553" s="50"/>
      <c r="CV553" s="50"/>
      <c r="CW553" s="50"/>
      <c r="CX553" s="50"/>
      <c r="CY553" s="50"/>
      <c r="CZ553" s="50"/>
      <c r="DA553" s="50"/>
      <c r="DB553" s="50"/>
      <c r="DC553" s="50"/>
      <c r="DD553" s="50"/>
      <c r="DE553" s="50"/>
      <c r="DF553" s="50"/>
      <c r="DG553" s="50"/>
      <c r="DH553" s="50"/>
      <c r="DI553" s="50"/>
      <c r="DJ553" s="50"/>
      <c r="DK553" s="50"/>
      <c r="DL553" s="50"/>
      <c r="DM553" s="50"/>
      <c r="DN553" s="50"/>
      <c r="DO553" s="50"/>
      <c r="DP553" s="50"/>
      <c r="DQ553" s="50"/>
      <c r="DR553" s="50"/>
      <c r="DS553" s="50"/>
      <c r="DT553" s="50"/>
      <c r="DU553" s="50"/>
      <c r="DV553" s="50"/>
      <c r="DW553" s="50"/>
      <c r="DX553" s="50"/>
      <c r="DY553" s="50"/>
      <c r="DZ553" s="50"/>
      <c r="EA553" s="50"/>
      <c r="EB553" s="50"/>
      <c r="EC553" s="50"/>
      <c r="ED553" s="50"/>
      <c r="EE553" s="50"/>
      <c r="EF553" s="50"/>
      <c r="EG553" s="50"/>
      <c r="EH553" s="50"/>
      <c r="EI553" s="50"/>
      <c r="EJ553" s="50"/>
      <c r="EK553" s="50"/>
      <c r="EL553" s="50"/>
      <c r="EM553" s="50"/>
      <c r="EN553" s="50"/>
      <c r="EO553" s="50"/>
      <c r="EP553" s="50"/>
      <c r="EQ553" s="50"/>
      <c r="ER553" s="50"/>
      <c r="ES553" s="50"/>
      <c r="ET553" s="50"/>
      <c r="EU553" s="50"/>
      <c r="EV553" s="50"/>
      <c r="EW553" s="50"/>
      <c r="EX553" s="50"/>
      <c r="EY553" s="50"/>
      <c r="EZ553" s="50"/>
      <c r="FA553" s="50"/>
      <c r="FB553" s="50"/>
      <c r="FC553" s="50"/>
      <c r="FD553" s="50"/>
      <c r="FE553" s="50"/>
      <c r="FF553" s="50"/>
      <c r="FG553" s="50"/>
      <c r="FH553" s="50"/>
      <c r="FI553" s="50"/>
      <c r="FJ553" s="50"/>
      <c r="FK553" s="50"/>
      <c r="FL553" s="50"/>
      <c r="FM553" s="50"/>
      <c r="FN553" s="50"/>
      <c r="FO553" s="50"/>
      <c r="FP553" s="50"/>
      <c r="FQ553" s="50"/>
      <c r="FR553" s="50"/>
      <c r="FS553" s="50"/>
      <c r="FT553" s="50"/>
      <c r="FU553" s="50"/>
      <c r="FV553" s="50"/>
      <c r="FW553" s="50"/>
      <c r="FX553" s="50"/>
      <c r="FY553" s="50"/>
      <c r="FZ553" s="50"/>
      <c r="GA553" s="50"/>
      <c r="GB553" s="50"/>
      <c r="GC553" s="50"/>
      <c r="GD553" s="50"/>
      <c r="GE553" s="50"/>
      <c r="GF553" s="50"/>
    </row>
    <row r="554" spans="1:188">
      <c r="A554" s="147"/>
      <c r="B554" s="147"/>
      <c r="C554" s="51"/>
      <c r="D554" s="52"/>
      <c r="E554" s="47"/>
      <c r="F554" s="47"/>
      <c r="G554" s="47"/>
      <c r="H554" s="47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/>
      <c r="AU554" s="50"/>
      <c r="AV554" s="50"/>
      <c r="AW554" s="50"/>
      <c r="AX554" s="50"/>
      <c r="AY554" s="50"/>
      <c r="AZ554" s="50"/>
      <c r="BA554" s="50"/>
      <c r="BB554" s="50"/>
      <c r="BC554" s="50"/>
      <c r="BD554" s="50"/>
      <c r="BE554" s="50"/>
      <c r="BF554" s="50"/>
      <c r="BG554" s="50"/>
      <c r="BH554" s="50"/>
      <c r="BI554" s="50"/>
      <c r="BJ554" s="50"/>
      <c r="BK554" s="50"/>
      <c r="BL554" s="50"/>
      <c r="BM554" s="50"/>
      <c r="BN554" s="50"/>
      <c r="BO554" s="50"/>
      <c r="BP554" s="50"/>
      <c r="BQ554" s="50"/>
      <c r="BR554" s="50"/>
      <c r="BS554" s="50"/>
      <c r="BT554" s="50"/>
      <c r="BU554" s="50"/>
      <c r="BV554" s="50"/>
      <c r="BW554" s="50"/>
      <c r="BX554" s="50"/>
      <c r="BY554" s="50"/>
      <c r="BZ554" s="50"/>
      <c r="CA554" s="50"/>
      <c r="CB554" s="50"/>
      <c r="CC554" s="50"/>
      <c r="CD554" s="50"/>
      <c r="CE554" s="50"/>
      <c r="CF554" s="50"/>
      <c r="CG554" s="50"/>
      <c r="CH554" s="50"/>
      <c r="CI554" s="50"/>
      <c r="CJ554" s="50"/>
      <c r="CK554" s="50"/>
      <c r="CL554" s="50"/>
      <c r="CM554" s="50"/>
      <c r="CN554" s="50"/>
      <c r="CO554" s="50"/>
      <c r="CP554" s="50"/>
      <c r="CQ554" s="50"/>
      <c r="CR554" s="50"/>
      <c r="CS554" s="50"/>
      <c r="CT554" s="50"/>
      <c r="CU554" s="50"/>
      <c r="CV554" s="50"/>
      <c r="CW554" s="50"/>
      <c r="CX554" s="50"/>
      <c r="CY554" s="50"/>
      <c r="CZ554" s="50"/>
      <c r="DA554" s="50"/>
      <c r="DB554" s="50"/>
      <c r="DC554" s="50"/>
      <c r="DD554" s="50"/>
      <c r="DE554" s="50"/>
      <c r="DF554" s="50"/>
      <c r="DG554" s="50"/>
      <c r="DH554" s="50"/>
      <c r="DI554" s="50"/>
      <c r="DJ554" s="50"/>
      <c r="DK554" s="50"/>
      <c r="DL554" s="50"/>
      <c r="DM554" s="50"/>
      <c r="DN554" s="50"/>
      <c r="DO554" s="50"/>
      <c r="DP554" s="50"/>
      <c r="DQ554" s="50"/>
      <c r="DR554" s="50"/>
      <c r="DS554" s="50"/>
      <c r="DT554" s="50"/>
      <c r="DU554" s="50"/>
      <c r="DV554" s="50"/>
      <c r="DW554" s="50"/>
      <c r="DX554" s="50"/>
      <c r="DY554" s="50"/>
      <c r="DZ554" s="50"/>
      <c r="EA554" s="50"/>
      <c r="EB554" s="50"/>
      <c r="EC554" s="50"/>
      <c r="ED554" s="50"/>
      <c r="EE554" s="50"/>
      <c r="EF554" s="50"/>
      <c r="EG554" s="50"/>
      <c r="EH554" s="50"/>
      <c r="EI554" s="50"/>
      <c r="EJ554" s="50"/>
      <c r="EK554" s="50"/>
      <c r="EL554" s="50"/>
      <c r="EM554" s="50"/>
      <c r="EN554" s="50"/>
      <c r="EO554" s="50"/>
      <c r="EP554" s="50"/>
      <c r="EQ554" s="50"/>
      <c r="ER554" s="50"/>
      <c r="ES554" s="50"/>
      <c r="ET554" s="50"/>
      <c r="EU554" s="50"/>
      <c r="EV554" s="50"/>
      <c r="EW554" s="50"/>
      <c r="EX554" s="50"/>
      <c r="EY554" s="50"/>
      <c r="EZ554" s="50"/>
      <c r="FA554" s="50"/>
      <c r="FB554" s="50"/>
      <c r="FC554" s="50"/>
      <c r="FD554" s="50"/>
      <c r="FE554" s="50"/>
      <c r="FF554" s="50"/>
      <c r="FG554" s="50"/>
      <c r="FH554" s="50"/>
      <c r="FI554" s="50"/>
      <c r="FJ554" s="50"/>
      <c r="FK554" s="50"/>
      <c r="FL554" s="50"/>
      <c r="FM554" s="50"/>
      <c r="FN554" s="50"/>
      <c r="FO554" s="50"/>
      <c r="FP554" s="50"/>
      <c r="FQ554" s="50"/>
      <c r="FR554" s="50"/>
      <c r="FS554" s="50"/>
      <c r="FT554" s="50"/>
      <c r="FU554" s="50"/>
      <c r="FV554" s="50"/>
      <c r="FW554" s="50"/>
      <c r="FX554" s="50"/>
      <c r="FY554" s="50"/>
      <c r="FZ554" s="50"/>
      <c r="GA554" s="50"/>
      <c r="GB554" s="50"/>
      <c r="GC554" s="50"/>
      <c r="GD554" s="50"/>
      <c r="GE554" s="50"/>
      <c r="GF554" s="50"/>
    </row>
    <row r="555" spans="1:188">
      <c r="A555" s="147"/>
      <c r="B555" s="147"/>
      <c r="C555" s="51"/>
      <c r="D555" s="52"/>
      <c r="E555" s="47"/>
      <c r="F555" s="47"/>
      <c r="G555" s="47"/>
      <c r="H555" s="47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50"/>
      <c r="AW555" s="50"/>
      <c r="AX555" s="50"/>
      <c r="AY555" s="50"/>
      <c r="AZ555" s="50"/>
      <c r="BA555" s="50"/>
      <c r="BB555" s="50"/>
      <c r="BC555" s="50"/>
      <c r="BD555" s="50"/>
      <c r="BE555" s="50"/>
      <c r="BF555" s="50"/>
      <c r="BG555" s="50"/>
      <c r="BH555" s="50"/>
      <c r="BI555" s="50"/>
      <c r="BJ555" s="50"/>
      <c r="BK555" s="50"/>
      <c r="BL555" s="50"/>
      <c r="BM555" s="50"/>
      <c r="BN555" s="50"/>
      <c r="BO555" s="50"/>
      <c r="BP555" s="50"/>
      <c r="BQ555" s="50"/>
      <c r="BR555" s="50"/>
      <c r="BS555" s="50"/>
      <c r="BT555" s="50"/>
      <c r="BU555" s="50"/>
      <c r="BV555" s="50"/>
      <c r="BW555" s="50"/>
      <c r="BX555" s="50"/>
      <c r="BY555" s="50"/>
      <c r="BZ555" s="50"/>
      <c r="CA555" s="50"/>
      <c r="CB555" s="50"/>
      <c r="CC555" s="50"/>
      <c r="CD555" s="50"/>
      <c r="CE555" s="50"/>
      <c r="CF555" s="50"/>
      <c r="CG555" s="50"/>
      <c r="CH555" s="50"/>
      <c r="CI555" s="50"/>
      <c r="CJ555" s="50"/>
      <c r="CK555" s="50"/>
      <c r="CL555" s="50"/>
      <c r="CM555" s="50"/>
      <c r="CN555" s="50"/>
      <c r="CO555" s="50"/>
      <c r="CP555" s="50"/>
      <c r="CQ555" s="50"/>
      <c r="CR555" s="50"/>
      <c r="CS555" s="50"/>
      <c r="CT555" s="50"/>
      <c r="CU555" s="50"/>
      <c r="CV555" s="50"/>
      <c r="CW555" s="50"/>
      <c r="CX555" s="50"/>
      <c r="CY555" s="50"/>
      <c r="CZ555" s="50"/>
      <c r="DA555" s="50"/>
      <c r="DB555" s="50"/>
      <c r="DC555" s="50"/>
      <c r="DD555" s="50"/>
      <c r="DE555" s="50"/>
      <c r="DF555" s="50"/>
      <c r="DG555" s="50"/>
      <c r="DH555" s="50"/>
      <c r="DI555" s="50"/>
      <c r="DJ555" s="50"/>
      <c r="DK555" s="50"/>
      <c r="DL555" s="50"/>
      <c r="DM555" s="50"/>
      <c r="DN555" s="50"/>
      <c r="DO555" s="50"/>
      <c r="DP555" s="50"/>
      <c r="DQ555" s="50"/>
      <c r="DR555" s="50"/>
      <c r="DS555" s="50"/>
      <c r="DT555" s="50"/>
      <c r="DU555" s="50"/>
      <c r="DV555" s="50"/>
      <c r="DW555" s="50"/>
      <c r="DX555" s="50"/>
      <c r="DY555" s="50"/>
      <c r="DZ555" s="50"/>
      <c r="EA555" s="50"/>
      <c r="EB555" s="50"/>
      <c r="EC555" s="50"/>
      <c r="ED555" s="50"/>
      <c r="EE555" s="50"/>
      <c r="EF555" s="50"/>
      <c r="EG555" s="50"/>
      <c r="EH555" s="50"/>
      <c r="EI555" s="50"/>
      <c r="EJ555" s="50"/>
      <c r="EK555" s="50"/>
      <c r="EL555" s="50"/>
      <c r="EM555" s="50"/>
      <c r="EN555" s="50"/>
      <c r="EO555" s="50"/>
      <c r="EP555" s="50"/>
      <c r="EQ555" s="50"/>
      <c r="ER555" s="50"/>
      <c r="ES555" s="50"/>
      <c r="ET555" s="50"/>
      <c r="EU555" s="50"/>
      <c r="EV555" s="50"/>
      <c r="EW555" s="50"/>
      <c r="EX555" s="50"/>
      <c r="EY555" s="50"/>
      <c r="EZ555" s="50"/>
      <c r="FA555" s="50"/>
      <c r="FB555" s="50"/>
      <c r="FC555" s="50"/>
      <c r="FD555" s="50"/>
      <c r="FE555" s="50"/>
      <c r="FF555" s="50"/>
      <c r="FG555" s="50"/>
      <c r="FH555" s="50"/>
      <c r="FI555" s="50"/>
      <c r="FJ555" s="50"/>
      <c r="FK555" s="50"/>
      <c r="FL555" s="50"/>
      <c r="FM555" s="50"/>
      <c r="FN555" s="50"/>
      <c r="FO555" s="50"/>
      <c r="FP555" s="50"/>
      <c r="FQ555" s="50"/>
      <c r="FR555" s="50"/>
      <c r="FS555" s="50"/>
      <c r="FT555" s="50"/>
      <c r="FU555" s="50"/>
      <c r="FV555" s="50"/>
      <c r="FW555" s="50"/>
      <c r="FX555" s="50"/>
      <c r="FY555" s="50"/>
      <c r="FZ555" s="50"/>
      <c r="GA555" s="50"/>
      <c r="GB555" s="50"/>
      <c r="GC555" s="50"/>
      <c r="GD555" s="50"/>
      <c r="GE555" s="50"/>
      <c r="GF555" s="50"/>
    </row>
    <row r="556" spans="1:188">
      <c r="A556" s="147"/>
      <c r="B556" s="147"/>
      <c r="C556" s="51"/>
      <c r="D556" s="52"/>
      <c r="E556" s="47"/>
      <c r="F556" s="47"/>
      <c r="G556" s="47"/>
      <c r="H556" s="47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50"/>
      <c r="AW556" s="50"/>
      <c r="AX556" s="50"/>
      <c r="AY556" s="50"/>
      <c r="AZ556" s="50"/>
      <c r="BA556" s="50"/>
      <c r="BB556" s="50"/>
      <c r="BC556" s="50"/>
      <c r="BD556" s="50"/>
      <c r="BE556" s="50"/>
      <c r="BF556" s="50"/>
      <c r="BG556" s="50"/>
      <c r="BH556" s="50"/>
      <c r="BI556" s="50"/>
      <c r="BJ556" s="50"/>
      <c r="BK556" s="50"/>
      <c r="BL556" s="50"/>
      <c r="BM556" s="50"/>
      <c r="BN556" s="50"/>
      <c r="BO556" s="50"/>
      <c r="BP556" s="50"/>
      <c r="BQ556" s="50"/>
      <c r="BR556" s="50"/>
      <c r="BS556" s="50"/>
      <c r="BT556" s="50"/>
      <c r="BU556" s="50"/>
      <c r="BV556" s="50"/>
      <c r="BW556" s="50"/>
      <c r="BX556" s="50"/>
      <c r="BY556" s="50"/>
      <c r="BZ556" s="50"/>
      <c r="CA556" s="50"/>
      <c r="CB556" s="50"/>
      <c r="CC556" s="50"/>
      <c r="CD556" s="50"/>
      <c r="CE556" s="50"/>
      <c r="CF556" s="50"/>
      <c r="CG556" s="50"/>
      <c r="CH556" s="50"/>
      <c r="CI556" s="50"/>
      <c r="CJ556" s="50"/>
      <c r="CK556" s="50"/>
      <c r="CL556" s="50"/>
      <c r="CM556" s="50"/>
      <c r="CN556" s="50"/>
      <c r="CO556" s="50"/>
      <c r="CP556" s="50"/>
      <c r="CQ556" s="50"/>
      <c r="CR556" s="50"/>
      <c r="CS556" s="50"/>
      <c r="CT556" s="50"/>
      <c r="CU556" s="50"/>
      <c r="CV556" s="50"/>
      <c r="CW556" s="50"/>
      <c r="CX556" s="50"/>
      <c r="CY556" s="50"/>
      <c r="CZ556" s="50"/>
      <c r="DA556" s="50"/>
      <c r="DB556" s="50"/>
      <c r="DC556" s="50"/>
      <c r="DD556" s="50"/>
      <c r="DE556" s="50"/>
      <c r="DF556" s="50"/>
      <c r="DG556" s="50"/>
      <c r="DH556" s="50"/>
      <c r="DI556" s="50"/>
      <c r="DJ556" s="50"/>
      <c r="DK556" s="50"/>
      <c r="DL556" s="50"/>
      <c r="DM556" s="50"/>
      <c r="DN556" s="50"/>
      <c r="DO556" s="50"/>
      <c r="DP556" s="50"/>
      <c r="DQ556" s="50"/>
      <c r="DR556" s="50"/>
      <c r="DS556" s="50"/>
      <c r="DT556" s="50"/>
      <c r="DU556" s="50"/>
      <c r="DV556" s="50"/>
      <c r="DW556" s="50"/>
      <c r="DX556" s="50"/>
      <c r="DY556" s="50"/>
      <c r="DZ556" s="50"/>
      <c r="EA556" s="50"/>
      <c r="EB556" s="50"/>
      <c r="EC556" s="50"/>
      <c r="ED556" s="50"/>
      <c r="EE556" s="50"/>
      <c r="EF556" s="50"/>
      <c r="EG556" s="50"/>
      <c r="EH556" s="50"/>
      <c r="EI556" s="50"/>
      <c r="EJ556" s="50"/>
      <c r="EK556" s="50"/>
      <c r="EL556" s="50"/>
      <c r="EM556" s="50"/>
      <c r="EN556" s="50"/>
      <c r="EO556" s="50"/>
      <c r="EP556" s="50"/>
      <c r="EQ556" s="50"/>
      <c r="ER556" s="50"/>
      <c r="ES556" s="50"/>
      <c r="ET556" s="50"/>
      <c r="EU556" s="50"/>
      <c r="EV556" s="50"/>
      <c r="EW556" s="50"/>
      <c r="EX556" s="50"/>
      <c r="EY556" s="50"/>
      <c r="EZ556" s="50"/>
      <c r="FA556" s="50"/>
      <c r="FB556" s="50"/>
      <c r="FC556" s="50"/>
      <c r="FD556" s="50"/>
      <c r="FE556" s="50"/>
      <c r="FF556" s="50"/>
      <c r="FG556" s="50"/>
      <c r="FH556" s="50"/>
      <c r="FI556" s="50"/>
      <c r="FJ556" s="50"/>
      <c r="FK556" s="50"/>
      <c r="FL556" s="50"/>
      <c r="FM556" s="50"/>
      <c r="FN556" s="50"/>
      <c r="FO556" s="50"/>
      <c r="FP556" s="50"/>
      <c r="FQ556" s="50"/>
      <c r="FR556" s="50"/>
      <c r="FS556" s="50"/>
      <c r="FT556" s="50"/>
      <c r="FU556" s="50"/>
      <c r="FV556" s="50"/>
      <c r="FW556" s="50"/>
      <c r="FX556" s="50"/>
      <c r="FY556" s="50"/>
      <c r="FZ556" s="50"/>
      <c r="GA556" s="50"/>
      <c r="GB556" s="50"/>
      <c r="GC556" s="50"/>
      <c r="GD556" s="50"/>
      <c r="GE556" s="50"/>
      <c r="GF556" s="50"/>
    </row>
    <row r="557" spans="1:188">
      <c r="A557" s="147"/>
      <c r="B557" s="147"/>
      <c r="C557" s="51"/>
      <c r="D557" s="52"/>
      <c r="E557" s="47"/>
      <c r="F557" s="47"/>
      <c r="G557" s="47"/>
      <c r="H557" s="47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50"/>
      <c r="AT557" s="50"/>
      <c r="AU557" s="50"/>
      <c r="AV557" s="50"/>
      <c r="AW557" s="50"/>
      <c r="AX557" s="50"/>
      <c r="AY557" s="50"/>
      <c r="AZ557" s="50"/>
      <c r="BA557" s="50"/>
      <c r="BB557" s="50"/>
      <c r="BC557" s="50"/>
      <c r="BD557" s="50"/>
      <c r="BE557" s="50"/>
      <c r="BF557" s="50"/>
      <c r="BG557" s="50"/>
      <c r="BH557" s="50"/>
      <c r="BI557" s="50"/>
      <c r="BJ557" s="50"/>
      <c r="BK557" s="50"/>
      <c r="BL557" s="50"/>
      <c r="BM557" s="50"/>
      <c r="BN557" s="50"/>
      <c r="BO557" s="50"/>
      <c r="BP557" s="50"/>
      <c r="BQ557" s="50"/>
      <c r="BR557" s="50"/>
      <c r="BS557" s="50"/>
      <c r="BT557" s="50"/>
      <c r="BU557" s="50"/>
      <c r="BV557" s="50"/>
      <c r="BW557" s="50"/>
      <c r="BX557" s="50"/>
      <c r="BY557" s="50"/>
      <c r="BZ557" s="50"/>
      <c r="CA557" s="50"/>
      <c r="CB557" s="50"/>
      <c r="CC557" s="50"/>
      <c r="CD557" s="50"/>
      <c r="CE557" s="50"/>
      <c r="CF557" s="50"/>
      <c r="CG557" s="50"/>
      <c r="CH557" s="50"/>
      <c r="CI557" s="50"/>
      <c r="CJ557" s="50"/>
      <c r="CK557" s="50"/>
      <c r="CL557" s="50"/>
      <c r="CM557" s="50"/>
      <c r="CN557" s="50"/>
      <c r="CO557" s="50"/>
      <c r="CP557" s="50"/>
      <c r="CQ557" s="50"/>
      <c r="CR557" s="50"/>
      <c r="CS557" s="50"/>
      <c r="CT557" s="50"/>
      <c r="CU557" s="50"/>
      <c r="CV557" s="50"/>
      <c r="CW557" s="50"/>
      <c r="CX557" s="50"/>
      <c r="CY557" s="50"/>
      <c r="CZ557" s="50"/>
      <c r="DA557" s="50"/>
      <c r="DB557" s="50"/>
      <c r="DC557" s="50"/>
      <c r="DD557" s="50"/>
      <c r="DE557" s="50"/>
      <c r="DF557" s="50"/>
      <c r="DG557" s="50"/>
      <c r="DH557" s="50"/>
      <c r="DI557" s="50"/>
      <c r="DJ557" s="50"/>
      <c r="DK557" s="50"/>
      <c r="DL557" s="50"/>
      <c r="DM557" s="50"/>
      <c r="DN557" s="50"/>
      <c r="DO557" s="50"/>
      <c r="DP557" s="50"/>
      <c r="DQ557" s="50"/>
      <c r="DR557" s="50"/>
      <c r="DS557" s="50"/>
      <c r="DT557" s="50"/>
      <c r="DU557" s="50"/>
      <c r="DV557" s="50"/>
      <c r="DW557" s="50"/>
      <c r="DX557" s="50"/>
      <c r="DY557" s="50"/>
      <c r="DZ557" s="50"/>
      <c r="EA557" s="50"/>
      <c r="EB557" s="50"/>
      <c r="EC557" s="50"/>
      <c r="ED557" s="50"/>
      <c r="EE557" s="50"/>
      <c r="EF557" s="50"/>
      <c r="EG557" s="50"/>
      <c r="EH557" s="50"/>
      <c r="EI557" s="50"/>
      <c r="EJ557" s="50"/>
      <c r="EK557" s="50"/>
      <c r="EL557" s="50"/>
      <c r="EM557" s="50"/>
      <c r="EN557" s="50"/>
      <c r="EO557" s="50"/>
      <c r="EP557" s="50"/>
      <c r="EQ557" s="50"/>
      <c r="ER557" s="50"/>
      <c r="ES557" s="50"/>
      <c r="ET557" s="50"/>
      <c r="EU557" s="50"/>
      <c r="EV557" s="50"/>
      <c r="EW557" s="50"/>
      <c r="EX557" s="50"/>
      <c r="EY557" s="50"/>
      <c r="EZ557" s="50"/>
      <c r="FA557" s="50"/>
      <c r="FB557" s="50"/>
      <c r="FC557" s="50"/>
      <c r="FD557" s="50"/>
      <c r="FE557" s="50"/>
      <c r="FF557" s="50"/>
      <c r="FG557" s="50"/>
      <c r="FH557" s="50"/>
      <c r="FI557" s="50"/>
      <c r="FJ557" s="50"/>
      <c r="FK557" s="50"/>
      <c r="FL557" s="50"/>
      <c r="FM557" s="50"/>
      <c r="FN557" s="50"/>
      <c r="FO557" s="50"/>
      <c r="FP557" s="50"/>
      <c r="FQ557" s="50"/>
      <c r="FR557" s="50"/>
      <c r="FS557" s="50"/>
      <c r="FT557" s="50"/>
      <c r="FU557" s="50"/>
      <c r="FV557" s="50"/>
      <c r="FW557" s="50"/>
      <c r="FX557" s="50"/>
      <c r="FY557" s="50"/>
      <c r="FZ557" s="50"/>
      <c r="GA557" s="50"/>
      <c r="GB557" s="50"/>
      <c r="GC557" s="50"/>
      <c r="GD557" s="50"/>
      <c r="GE557" s="50"/>
      <c r="GF557" s="50"/>
    </row>
    <row r="558" spans="1:188">
      <c r="A558" s="147"/>
      <c r="B558" s="147"/>
      <c r="C558" s="51"/>
      <c r="D558" s="52"/>
      <c r="E558" s="47"/>
      <c r="F558" s="47"/>
      <c r="G558" s="47"/>
      <c r="H558" s="47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50"/>
      <c r="AW558" s="50"/>
      <c r="AX558" s="50"/>
      <c r="AY558" s="50"/>
      <c r="AZ558" s="50"/>
      <c r="BA558" s="50"/>
      <c r="BB558" s="50"/>
      <c r="BC558" s="50"/>
      <c r="BD558" s="50"/>
      <c r="BE558" s="50"/>
      <c r="BF558" s="50"/>
      <c r="BG558" s="50"/>
      <c r="BH558" s="50"/>
      <c r="BI558" s="50"/>
      <c r="BJ558" s="50"/>
      <c r="BK558" s="50"/>
      <c r="BL558" s="50"/>
      <c r="BM558" s="50"/>
      <c r="BN558" s="50"/>
      <c r="BO558" s="50"/>
      <c r="BP558" s="50"/>
      <c r="BQ558" s="50"/>
      <c r="BR558" s="50"/>
      <c r="BS558" s="50"/>
      <c r="BT558" s="50"/>
      <c r="BU558" s="50"/>
      <c r="BV558" s="50"/>
      <c r="BW558" s="50"/>
      <c r="BX558" s="50"/>
      <c r="BY558" s="50"/>
      <c r="BZ558" s="50"/>
      <c r="CA558" s="50"/>
      <c r="CB558" s="50"/>
      <c r="CC558" s="50"/>
      <c r="CD558" s="50"/>
      <c r="CE558" s="50"/>
      <c r="CF558" s="50"/>
      <c r="CG558" s="50"/>
      <c r="CH558" s="50"/>
      <c r="CI558" s="50"/>
      <c r="CJ558" s="50"/>
      <c r="CK558" s="50"/>
      <c r="CL558" s="50"/>
      <c r="CM558" s="50"/>
      <c r="CN558" s="50"/>
      <c r="CO558" s="50"/>
      <c r="CP558" s="50"/>
      <c r="CQ558" s="50"/>
      <c r="CR558" s="50"/>
      <c r="CS558" s="50"/>
      <c r="CT558" s="50"/>
      <c r="CU558" s="50"/>
      <c r="CV558" s="50"/>
      <c r="CW558" s="50"/>
      <c r="CX558" s="50"/>
      <c r="CY558" s="50"/>
      <c r="CZ558" s="50"/>
      <c r="DA558" s="50"/>
      <c r="DB558" s="50"/>
      <c r="DC558" s="50"/>
      <c r="DD558" s="50"/>
      <c r="DE558" s="50"/>
      <c r="DF558" s="50"/>
      <c r="DG558" s="50"/>
      <c r="DH558" s="50"/>
      <c r="DI558" s="50"/>
      <c r="DJ558" s="50"/>
      <c r="DK558" s="50"/>
      <c r="DL558" s="50"/>
      <c r="DM558" s="50"/>
      <c r="DN558" s="50"/>
      <c r="DO558" s="50"/>
      <c r="DP558" s="50"/>
      <c r="DQ558" s="50"/>
      <c r="DR558" s="50"/>
      <c r="DS558" s="50"/>
      <c r="DT558" s="50"/>
      <c r="DU558" s="50"/>
      <c r="DV558" s="50"/>
      <c r="DW558" s="50"/>
      <c r="DX558" s="50"/>
      <c r="DY558" s="50"/>
      <c r="DZ558" s="50"/>
      <c r="EA558" s="50"/>
      <c r="EB558" s="50"/>
      <c r="EC558" s="50"/>
      <c r="ED558" s="50"/>
      <c r="EE558" s="50"/>
      <c r="EF558" s="50"/>
      <c r="EG558" s="50"/>
      <c r="EH558" s="50"/>
      <c r="EI558" s="50"/>
      <c r="EJ558" s="50"/>
      <c r="EK558" s="50"/>
      <c r="EL558" s="50"/>
      <c r="EM558" s="50"/>
      <c r="EN558" s="50"/>
      <c r="EO558" s="50"/>
      <c r="EP558" s="50"/>
      <c r="EQ558" s="50"/>
      <c r="ER558" s="50"/>
      <c r="ES558" s="50"/>
      <c r="ET558" s="50"/>
      <c r="EU558" s="50"/>
      <c r="EV558" s="50"/>
      <c r="EW558" s="50"/>
      <c r="EX558" s="50"/>
      <c r="EY558" s="50"/>
      <c r="EZ558" s="50"/>
      <c r="FA558" s="50"/>
      <c r="FB558" s="50"/>
      <c r="FC558" s="50"/>
      <c r="FD558" s="50"/>
      <c r="FE558" s="50"/>
      <c r="FF558" s="50"/>
      <c r="FG558" s="50"/>
      <c r="FH558" s="50"/>
      <c r="FI558" s="50"/>
      <c r="FJ558" s="50"/>
      <c r="FK558" s="50"/>
      <c r="FL558" s="50"/>
      <c r="FM558" s="50"/>
      <c r="FN558" s="50"/>
      <c r="FO558" s="50"/>
      <c r="FP558" s="50"/>
      <c r="FQ558" s="50"/>
      <c r="FR558" s="50"/>
      <c r="FS558" s="50"/>
      <c r="FT558" s="50"/>
      <c r="FU558" s="50"/>
      <c r="FV558" s="50"/>
      <c r="FW558" s="50"/>
      <c r="FX558" s="50"/>
      <c r="FY558" s="50"/>
      <c r="FZ558" s="50"/>
      <c r="GA558" s="50"/>
      <c r="GB558" s="50"/>
      <c r="GC558" s="50"/>
      <c r="GD558" s="50"/>
      <c r="GE558" s="50"/>
      <c r="GF558" s="50"/>
    </row>
    <row r="559" spans="1:188">
      <c r="A559" s="147"/>
      <c r="B559" s="147"/>
      <c r="C559" s="51"/>
      <c r="D559" s="52"/>
      <c r="E559" s="47"/>
      <c r="F559" s="47"/>
      <c r="G559" s="47"/>
      <c r="H559" s="47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/>
      <c r="AT559" s="50"/>
      <c r="AU559" s="50"/>
      <c r="AV559" s="50"/>
      <c r="AW559" s="50"/>
      <c r="AX559" s="50"/>
      <c r="AY559" s="50"/>
      <c r="AZ559" s="50"/>
      <c r="BA559" s="50"/>
      <c r="BB559" s="50"/>
      <c r="BC559" s="50"/>
      <c r="BD559" s="50"/>
      <c r="BE559" s="50"/>
      <c r="BF559" s="50"/>
      <c r="BG559" s="50"/>
      <c r="BH559" s="50"/>
      <c r="BI559" s="50"/>
      <c r="BJ559" s="50"/>
      <c r="BK559" s="50"/>
      <c r="BL559" s="50"/>
      <c r="BM559" s="50"/>
      <c r="BN559" s="50"/>
      <c r="BO559" s="50"/>
      <c r="BP559" s="50"/>
      <c r="BQ559" s="50"/>
      <c r="BR559" s="50"/>
      <c r="BS559" s="50"/>
      <c r="BT559" s="50"/>
      <c r="BU559" s="50"/>
      <c r="BV559" s="50"/>
      <c r="BW559" s="50"/>
      <c r="BX559" s="50"/>
      <c r="BY559" s="50"/>
      <c r="BZ559" s="50"/>
      <c r="CA559" s="50"/>
      <c r="CB559" s="50"/>
      <c r="CC559" s="50"/>
      <c r="CD559" s="50"/>
      <c r="CE559" s="50"/>
      <c r="CF559" s="50"/>
      <c r="CG559" s="50"/>
      <c r="CH559" s="50"/>
      <c r="CI559" s="50"/>
      <c r="CJ559" s="50"/>
      <c r="CK559" s="50"/>
      <c r="CL559" s="50"/>
      <c r="CM559" s="50"/>
      <c r="CN559" s="50"/>
      <c r="CO559" s="50"/>
      <c r="CP559" s="50"/>
      <c r="CQ559" s="50"/>
      <c r="CR559" s="50"/>
      <c r="CS559" s="50"/>
      <c r="CT559" s="50"/>
      <c r="CU559" s="50"/>
      <c r="CV559" s="50"/>
      <c r="CW559" s="50"/>
      <c r="CX559" s="50"/>
      <c r="CY559" s="50"/>
      <c r="CZ559" s="50"/>
      <c r="DA559" s="50"/>
      <c r="DB559" s="50"/>
      <c r="DC559" s="50"/>
      <c r="DD559" s="50"/>
      <c r="DE559" s="50"/>
      <c r="DF559" s="50"/>
      <c r="DG559" s="50"/>
      <c r="DH559" s="50"/>
      <c r="DI559" s="50"/>
      <c r="DJ559" s="50"/>
      <c r="DK559" s="50"/>
      <c r="DL559" s="50"/>
      <c r="DM559" s="50"/>
      <c r="DN559" s="50"/>
      <c r="DO559" s="50"/>
      <c r="DP559" s="50"/>
      <c r="DQ559" s="50"/>
      <c r="DR559" s="50"/>
      <c r="DS559" s="50"/>
      <c r="DT559" s="50"/>
      <c r="DU559" s="50"/>
      <c r="DV559" s="50"/>
      <c r="DW559" s="50"/>
      <c r="DX559" s="50"/>
      <c r="DY559" s="50"/>
      <c r="DZ559" s="50"/>
      <c r="EA559" s="50"/>
      <c r="EB559" s="50"/>
      <c r="EC559" s="50"/>
      <c r="ED559" s="50"/>
      <c r="EE559" s="50"/>
      <c r="EF559" s="50"/>
      <c r="EG559" s="50"/>
      <c r="EH559" s="50"/>
      <c r="EI559" s="50"/>
      <c r="EJ559" s="50"/>
      <c r="EK559" s="50"/>
      <c r="EL559" s="50"/>
      <c r="EM559" s="50"/>
      <c r="EN559" s="50"/>
      <c r="EO559" s="50"/>
      <c r="EP559" s="50"/>
      <c r="EQ559" s="50"/>
      <c r="ER559" s="50"/>
      <c r="ES559" s="50"/>
      <c r="ET559" s="50"/>
      <c r="EU559" s="50"/>
      <c r="EV559" s="50"/>
      <c r="EW559" s="50"/>
      <c r="EX559" s="50"/>
      <c r="EY559" s="50"/>
      <c r="EZ559" s="50"/>
      <c r="FA559" s="50"/>
      <c r="FB559" s="50"/>
      <c r="FC559" s="50"/>
      <c r="FD559" s="50"/>
      <c r="FE559" s="50"/>
      <c r="FF559" s="50"/>
      <c r="FG559" s="50"/>
      <c r="FH559" s="50"/>
      <c r="FI559" s="50"/>
      <c r="FJ559" s="50"/>
      <c r="FK559" s="50"/>
      <c r="FL559" s="50"/>
      <c r="FM559" s="50"/>
      <c r="FN559" s="50"/>
      <c r="FO559" s="50"/>
      <c r="FP559" s="50"/>
      <c r="FQ559" s="50"/>
      <c r="FR559" s="50"/>
      <c r="FS559" s="50"/>
      <c r="FT559" s="50"/>
      <c r="FU559" s="50"/>
      <c r="FV559" s="50"/>
      <c r="FW559" s="50"/>
      <c r="FX559" s="50"/>
      <c r="FY559" s="50"/>
      <c r="FZ559" s="50"/>
      <c r="GA559" s="50"/>
      <c r="GB559" s="50"/>
      <c r="GC559" s="50"/>
      <c r="GD559" s="50"/>
      <c r="GE559" s="50"/>
      <c r="GF559" s="50"/>
    </row>
    <row r="560" spans="1:188">
      <c r="A560" s="147"/>
      <c r="B560" s="147"/>
      <c r="C560" s="51"/>
      <c r="D560" s="52"/>
      <c r="E560" s="47"/>
      <c r="F560" s="47"/>
      <c r="G560" s="47"/>
      <c r="H560" s="47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50"/>
      <c r="AV560" s="50"/>
      <c r="AW560" s="50"/>
      <c r="AX560" s="50"/>
      <c r="AY560" s="50"/>
      <c r="AZ560" s="50"/>
      <c r="BA560" s="50"/>
      <c r="BB560" s="50"/>
      <c r="BC560" s="50"/>
      <c r="BD560" s="50"/>
      <c r="BE560" s="50"/>
      <c r="BF560" s="50"/>
      <c r="BG560" s="50"/>
      <c r="BH560" s="50"/>
      <c r="BI560" s="50"/>
      <c r="BJ560" s="50"/>
      <c r="BK560" s="50"/>
      <c r="BL560" s="50"/>
      <c r="BM560" s="50"/>
      <c r="BN560" s="50"/>
      <c r="BO560" s="50"/>
      <c r="BP560" s="50"/>
      <c r="BQ560" s="50"/>
      <c r="BR560" s="50"/>
      <c r="BS560" s="50"/>
      <c r="BT560" s="50"/>
      <c r="BU560" s="50"/>
      <c r="BV560" s="50"/>
      <c r="BW560" s="50"/>
      <c r="BX560" s="50"/>
      <c r="BY560" s="50"/>
      <c r="BZ560" s="50"/>
      <c r="CA560" s="50"/>
      <c r="CB560" s="50"/>
      <c r="CC560" s="50"/>
      <c r="CD560" s="50"/>
      <c r="CE560" s="50"/>
      <c r="CF560" s="50"/>
      <c r="CG560" s="50"/>
      <c r="CH560" s="50"/>
      <c r="CI560" s="50"/>
      <c r="CJ560" s="50"/>
      <c r="CK560" s="50"/>
      <c r="CL560" s="50"/>
      <c r="CM560" s="50"/>
      <c r="CN560" s="50"/>
      <c r="CO560" s="50"/>
      <c r="CP560" s="50"/>
      <c r="CQ560" s="50"/>
      <c r="CR560" s="50"/>
      <c r="CS560" s="50"/>
      <c r="CT560" s="50"/>
      <c r="CU560" s="50"/>
      <c r="CV560" s="50"/>
      <c r="CW560" s="50"/>
      <c r="CX560" s="50"/>
      <c r="CY560" s="50"/>
      <c r="CZ560" s="50"/>
      <c r="DA560" s="50"/>
      <c r="DB560" s="50"/>
      <c r="DC560" s="50"/>
      <c r="DD560" s="50"/>
      <c r="DE560" s="50"/>
      <c r="DF560" s="50"/>
      <c r="DG560" s="50"/>
      <c r="DH560" s="50"/>
      <c r="DI560" s="50"/>
      <c r="DJ560" s="50"/>
      <c r="DK560" s="50"/>
      <c r="DL560" s="50"/>
      <c r="DM560" s="50"/>
      <c r="DN560" s="50"/>
      <c r="DO560" s="50"/>
      <c r="DP560" s="50"/>
      <c r="DQ560" s="50"/>
      <c r="DR560" s="50"/>
      <c r="DS560" s="50"/>
      <c r="DT560" s="50"/>
      <c r="DU560" s="50"/>
      <c r="DV560" s="50"/>
      <c r="DW560" s="50"/>
      <c r="DX560" s="50"/>
      <c r="DY560" s="50"/>
      <c r="DZ560" s="50"/>
      <c r="EA560" s="50"/>
      <c r="EB560" s="50"/>
      <c r="EC560" s="50"/>
      <c r="ED560" s="50"/>
      <c r="EE560" s="50"/>
      <c r="EF560" s="50"/>
      <c r="EG560" s="50"/>
      <c r="EH560" s="50"/>
      <c r="EI560" s="50"/>
      <c r="EJ560" s="50"/>
      <c r="EK560" s="50"/>
      <c r="EL560" s="50"/>
      <c r="EM560" s="50"/>
      <c r="EN560" s="50"/>
      <c r="EO560" s="50"/>
      <c r="EP560" s="50"/>
      <c r="EQ560" s="50"/>
      <c r="ER560" s="50"/>
      <c r="ES560" s="50"/>
      <c r="ET560" s="50"/>
      <c r="EU560" s="50"/>
      <c r="EV560" s="50"/>
      <c r="EW560" s="50"/>
      <c r="EX560" s="50"/>
      <c r="EY560" s="50"/>
      <c r="EZ560" s="50"/>
      <c r="FA560" s="50"/>
      <c r="FB560" s="50"/>
      <c r="FC560" s="50"/>
      <c r="FD560" s="50"/>
      <c r="FE560" s="50"/>
      <c r="FF560" s="50"/>
      <c r="FG560" s="50"/>
      <c r="FH560" s="50"/>
      <c r="FI560" s="50"/>
      <c r="FJ560" s="50"/>
      <c r="FK560" s="50"/>
      <c r="FL560" s="50"/>
      <c r="FM560" s="50"/>
      <c r="FN560" s="50"/>
      <c r="FO560" s="50"/>
      <c r="FP560" s="50"/>
      <c r="FQ560" s="50"/>
      <c r="FR560" s="50"/>
      <c r="FS560" s="50"/>
      <c r="FT560" s="50"/>
      <c r="FU560" s="50"/>
      <c r="FV560" s="50"/>
      <c r="FW560" s="50"/>
      <c r="FX560" s="50"/>
      <c r="FY560" s="50"/>
      <c r="FZ560" s="50"/>
      <c r="GA560" s="50"/>
      <c r="GB560" s="50"/>
      <c r="GC560" s="50"/>
      <c r="GD560" s="50"/>
      <c r="GE560" s="50"/>
      <c r="GF560" s="50"/>
    </row>
    <row r="561" spans="1:188">
      <c r="A561" s="147"/>
      <c r="B561" s="147"/>
      <c r="C561" s="51"/>
      <c r="D561" s="52"/>
      <c r="E561" s="47"/>
      <c r="F561" s="47"/>
      <c r="G561" s="47"/>
      <c r="H561" s="47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50"/>
      <c r="AV561" s="50"/>
      <c r="AW561" s="50"/>
      <c r="AX561" s="50"/>
      <c r="AY561" s="50"/>
      <c r="AZ561" s="50"/>
      <c r="BA561" s="50"/>
      <c r="BB561" s="50"/>
      <c r="BC561" s="50"/>
      <c r="BD561" s="50"/>
      <c r="BE561" s="50"/>
      <c r="BF561" s="50"/>
      <c r="BG561" s="50"/>
      <c r="BH561" s="50"/>
      <c r="BI561" s="50"/>
      <c r="BJ561" s="50"/>
      <c r="BK561" s="50"/>
      <c r="BL561" s="50"/>
      <c r="BM561" s="50"/>
      <c r="BN561" s="50"/>
      <c r="BO561" s="50"/>
      <c r="BP561" s="50"/>
      <c r="BQ561" s="50"/>
      <c r="BR561" s="50"/>
      <c r="BS561" s="50"/>
      <c r="BT561" s="50"/>
      <c r="BU561" s="50"/>
      <c r="BV561" s="50"/>
      <c r="BW561" s="50"/>
      <c r="BX561" s="50"/>
      <c r="BY561" s="50"/>
      <c r="BZ561" s="50"/>
      <c r="CA561" s="50"/>
      <c r="CB561" s="50"/>
      <c r="CC561" s="50"/>
      <c r="CD561" s="50"/>
      <c r="CE561" s="50"/>
      <c r="CF561" s="50"/>
      <c r="CG561" s="50"/>
      <c r="CH561" s="50"/>
      <c r="CI561" s="50"/>
      <c r="CJ561" s="50"/>
      <c r="CK561" s="50"/>
      <c r="CL561" s="50"/>
      <c r="CM561" s="50"/>
      <c r="CN561" s="50"/>
      <c r="CO561" s="50"/>
      <c r="CP561" s="50"/>
      <c r="CQ561" s="50"/>
      <c r="CR561" s="50"/>
      <c r="CS561" s="50"/>
      <c r="CT561" s="50"/>
      <c r="CU561" s="50"/>
      <c r="CV561" s="50"/>
      <c r="CW561" s="50"/>
      <c r="CX561" s="50"/>
      <c r="CY561" s="50"/>
      <c r="CZ561" s="50"/>
      <c r="DA561" s="50"/>
      <c r="DB561" s="50"/>
      <c r="DC561" s="50"/>
      <c r="DD561" s="50"/>
      <c r="DE561" s="50"/>
      <c r="DF561" s="50"/>
      <c r="DG561" s="50"/>
      <c r="DH561" s="50"/>
      <c r="DI561" s="50"/>
      <c r="DJ561" s="50"/>
      <c r="DK561" s="50"/>
      <c r="DL561" s="50"/>
      <c r="DM561" s="50"/>
      <c r="DN561" s="50"/>
      <c r="DO561" s="50"/>
      <c r="DP561" s="50"/>
      <c r="DQ561" s="50"/>
      <c r="DR561" s="50"/>
      <c r="DS561" s="50"/>
      <c r="DT561" s="50"/>
      <c r="DU561" s="50"/>
      <c r="DV561" s="50"/>
      <c r="DW561" s="50"/>
      <c r="DX561" s="50"/>
      <c r="DY561" s="50"/>
      <c r="DZ561" s="50"/>
      <c r="EA561" s="50"/>
      <c r="EB561" s="50"/>
      <c r="EC561" s="50"/>
      <c r="ED561" s="50"/>
      <c r="EE561" s="50"/>
      <c r="EF561" s="50"/>
      <c r="EG561" s="50"/>
      <c r="EH561" s="50"/>
      <c r="EI561" s="50"/>
      <c r="EJ561" s="50"/>
      <c r="EK561" s="50"/>
      <c r="EL561" s="50"/>
      <c r="EM561" s="50"/>
      <c r="EN561" s="50"/>
      <c r="EO561" s="50"/>
      <c r="EP561" s="50"/>
      <c r="EQ561" s="50"/>
      <c r="ER561" s="50"/>
      <c r="ES561" s="50"/>
      <c r="ET561" s="50"/>
      <c r="EU561" s="50"/>
      <c r="EV561" s="50"/>
      <c r="EW561" s="50"/>
      <c r="EX561" s="50"/>
      <c r="EY561" s="50"/>
      <c r="EZ561" s="50"/>
      <c r="FA561" s="50"/>
      <c r="FB561" s="50"/>
      <c r="FC561" s="50"/>
      <c r="FD561" s="50"/>
      <c r="FE561" s="50"/>
      <c r="FF561" s="50"/>
      <c r="FG561" s="50"/>
      <c r="FH561" s="50"/>
      <c r="FI561" s="50"/>
      <c r="FJ561" s="50"/>
      <c r="FK561" s="50"/>
      <c r="FL561" s="50"/>
      <c r="FM561" s="50"/>
      <c r="FN561" s="50"/>
      <c r="FO561" s="50"/>
      <c r="FP561" s="50"/>
      <c r="FQ561" s="50"/>
      <c r="FR561" s="50"/>
      <c r="FS561" s="50"/>
      <c r="FT561" s="50"/>
      <c r="FU561" s="50"/>
      <c r="FV561" s="50"/>
      <c r="FW561" s="50"/>
      <c r="FX561" s="50"/>
      <c r="FY561" s="50"/>
      <c r="FZ561" s="50"/>
      <c r="GA561" s="50"/>
      <c r="GB561" s="50"/>
      <c r="GC561" s="50"/>
      <c r="GD561" s="50"/>
      <c r="GE561" s="50"/>
      <c r="GF561" s="50"/>
    </row>
    <row r="562" spans="1:188">
      <c r="A562" s="147"/>
      <c r="B562" s="147"/>
      <c r="C562" s="51"/>
      <c r="D562" s="52"/>
      <c r="E562" s="47"/>
      <c r="F562" s="47"/>
      <c r="G562" s="47"/>
      <c r="H562" s="47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50"/>
      <c r="AV562" s="50"/>
      <c r="AW562" s="50"/>
      <c r="AX562" s="50"/>
      <c r="AY562" s="50"/>
      <c r="AZ562" s="50"/>
      <c r="BA562" s="50"/>
      <c r="BB562" s="50"/>
      <c r="BC562" s="50"/>
      <c r="BD562" s="50"/>
      <c r="BE562" s="50"/>
      <c r="BF562" s="50"/>
      <c r="BG562" s="50"/>
      <c r="BH562" s="50"/>
      <c r="BI562" s="50"/>
      <c r="BJ562" s="50"/>
      <c r="BK562" s="50"/>
      <c r="BL562" s="50"/>
      <c r="BM562" s="50"/>
      <c r="BN562" s="50"/>
      <c r="BO562" s="50"/>
      <c r="BP562" s="50"/>
      <c r="BQ562" s="50"/>
      <c r="BR562" s="50"/>
      <c r="BS562" s="50"/>
      <c r="BT562" s="50"/>
      <c r="BU562" s="50"/>
      <c r="BV562" s="50"/>
      <c r="BW562" s="50"/>
      <c r="BX562" s="50"/>
      <c r="BY562" s="50"/>
      <c r="BZ562" s="50"/>
      <c r="CA562" s="50"/>
      <c r="CB562" s="50"/>
      <c r="CC562" s="50"/>
      <c r="CD562" s="50"/>
      <c r="CE562" s="50"/>
      <c r="CF562" s="50"/>
      <c r="CG562" s="50"/>
      <c r="CH562" s="50"/>
      <c r="CI562" s="50"/>
      <c r="CJ562" s="50"/>
      <c r="CK562" s="50"/>
      <c r="CL562" s="50"/>
      <c r="CM562" s="50"/>
      <c r="CN562" s="50"/>
      <c r="CO562" s="50"/>
      <c r="CP562" s="50"/>
      <c r="CQ562" s="50"/>
      <c r="CR562" s="50"/>
      <c r="CS562" s="50"/>
      <c r="CT562" s="50"/>
      <c r="CU562" s="50"/>
      <c r="CV562" s="50"/>
      <c r="CW562" s="50"/>
      <c r="CX562" s="50"/>
      <c r="CY562" s="50"/>
      <c r="CZ562" s="50"/>
      <c r="DA562" s="50"/>
      <c r="DB562" s="50"/>
      <c r="DC562" s="50"/>
      <c r="DD562" s="50"/>
      <c r="DE562" s="50"/>
      <c r="DF562" s="50"/>
      <c r="DG562" s="50"/>
      <c r="DH562" s="50"/>
      <c r="DI562" s="50"/>
      <c r="DJ562" s="50"/>
      <c r="DK562" s="50"/>
      <c r="DL562" s="50"/>
      <c r="DM562" s="50"/>
      <c r="DN562" s="50"/>
      <c r="DO562" s="50"/>
      <c r="DP562" s="50"/>
      <c r="DQ562" s="50"/>
      <c r="DR562" s="50"/>
      <c r="DS562" s="50"/>
      <c r="DT562" s="50"/>
      <c r="DU562" s="50"/>
      <c r="DV562" s="50"/>
      <c r="DW562" s="50"/>
      <c r="DX562" s="50"/>
      <c r="DY562" s="50"/>
      <c r="DZ562" s="50"/>
      <c r="EA562" s="50"/>
      <c r="EB562" s="50"/>
      <c r="EC562" s="50"/>
      <c r="ED562" s="50"/>
      <c r="EE562" s="50"/>
      <c r="EF562" s="50"/>
      <c r="EG562" s="50"/>
      <c r="EH562" s="50"/>
      <c r="EI562" s="50"/>
      <c r="EJ562" s="50"/>
      <c r="EK562" s="50"/>
      <c r="EL562" s="50"/>
      <c r="EM562" s="50"/>
      <c r="EN562" s="50"/>
      <c r="EO562" s="50"/>
      <c r="EP562" s="50"/>
      <c r="EQ562" s="50"/>
      <c r="ER562" s="50"/>
      <c r="ES562" s="50"/>
      <c r="ET562" s="50"/>
      <c r="EU562" s="50"/>
      <c r="EV562" s="50"/>
      <c r="EW562" s="50"/>
      <c r="EX562" s="50"/>
      <c r="EY562" s="50"/>
      <c r="EZ562" s="50"/>
      <c r="FA562" s="50"/>
      <c r="FB562" s="50"/>
      <c r="FC562" s="50"/>
      <c r="FD562" s="50"/>
      <c r="FE562" s="50"/>
      <c r="FF562" s="50"/>
      <c r="FG562" s="50"/>
      <c r="FH562" s="50"/>
      <c r="FI562" s="50"/>
      <c r="FJ562" s="50"/>
      <c r="FK562" s="50"/>
      <c r="FL562" s="50"/>
      <c r="FM562" s="50"/>
      <c r="FN562" s="50"/>
      <c r="FO562" s="50"/>
      <c r="FP562" s="50"/>
      <c r="FQ562" s="50"/>
      <c r="FR562" s="50"/>
      <c r="FS562" s="50"/>
      <c r="FT562" s="50"/>
      <c r="FU562" s="50"/>
      <c r="FV562" s="50"/>
      <c r="FW562" s="50"/>
      <c r="FX562" s="50"/>
      <c r="FY562" s="50"/>
      <c r="FZ562" s="50"/>
      <c r="GA562" s="50"/>
      <c r="GB562" s="50"/>
      <c r="GC562" s="50"/>
      <c r="GD562" s="50"/>
      <c r="GE562" s="50"/>
      <c r="GF562" s="50"/>
    </row>
    <row r="563" spans="1:188">
      <c r="A563" s="147"/>
      <c r="B563" s="147"/>
      <c r="C563" s="51"/>
      <c r="D563" s="52"/>
      <c r="E563" s="47"/>
      <c r="F563" s="47"/>
      <c r="G563" s="47"/>
      <c r="H563" s="47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50"/>
      <c r="AW563" s="50"/>
      <c r="AX563" s="50"/>
      <c r="AY563" s="50"/>
      <c r="AZ563" s="50"/>
      <c r="BA563" s="50"/>
      <c r="BB563" s="50"/>
      <c r="BC563" s="50"/>
      <c r="BD563" s="50"/>
      <c r="BE563" s="50"/>
      <c r="BF563" s="50"/>
      <c r="BG563" s="50"/>
      <c r="BH563" s="50"/>
      <c r="BI563" s="50"/>
      <c r="BJ563" s="50"/>
      <c r="BK563" s="50"/>
      <c r="BL563" s="50"/>
      <c r="BM563" s="50"/>
      <c r="BN563" s="50"/>
      <c r="BO563" s="50"/>
      <c r="BP563" s="50"/>
      <c r="BQ563" s="50"/>
      <c r="BR563" s="50"/>
      <c r="BS563" s="50"/>
      <c r="BT563" s="50"/>
      <c r="BU563" s="50"/>
      <c r="BV563" s="50"/>
      <c r="BW563" s="50"/>
      <c r="BX563" s="50"/>
      <c r="BY563" s="50"/>
      <c r="BZ563" s="50"/>
      <c r="CA563" s="50"/>
      <c r="CB563" s="50"/>
      <c r="CC563" s="50"/>
      <c r="CD563" s="50"/>
      <c r="CE563" s="50"/>
      <c r="CF563" s="50"/>
      <c r="CG563" s="50"/>
      <c r="CH563" s="50"/>
      <c r="CI563" s="50"/>
      <c r="CJ563" s="50"/>
      <c r="CK563" s="50"/>
      <c r="CL563" s="50"/>
      <c r="CM563" s="50"/>
      <c r="CN563" s="50"/>
      <c r="CO563" s="50"/>
      <c r="CP563" s="50"/>
      <c r="CQ563" s="50"/>
      <c r="CR563" s="50"/>
      <c r="CS563" s="50"/>
      <c r="CT563" s="50"/>
      <c r="CU563" s="50"/>
      <c r="CV563" s="50"/>
      <c r="CW563" s="50"/>
      <c r="CX563" s="50"/>
      <c r="CY563" s="50"/>
      <c r="CZ563" s="50"/>
      <c r="DA563" s="50"/>
      <c r="DB563" s="50"/>
      <c r="DC563" s="50"/>
      <c r="DD563" s="50"/>
      <c r="DE563" s="50"/>
      <c r="DF563" s="50"/>
      <c r="DG563" s="50"/>
      <c r="DH563" s="50"/>
      <c r="DI563" s="50"/>
      <c r="DJ563" s="50"/>
      <c r="DK563" s="50"/>
      <c r="DL563" s="50"/>
      <c r="DM563" s="50"/>
      <c r="DN563" s="50"/>
      <c r="DO563" s="50"/>
      <c r="DP563" s="50"/>
      <c r="DQ563" s="50"/>
      <c r="DR563" s="50"/>
      <c r="DS563" s="50"/>
      <c r="DT563" s="50"/>
      <c r="DU563" s="50"/>
      <c r="DV563" s="50"/>
      <c r="DW563" s="50"/>
      <c r="DX563" s="50"/>
      <c r="DY563" s="50"/>
      <c r="DZ563" s="50"/>
      <c r="EA563" s="50"/>
      <c r="EB563" s="50"/>
      <c r="EC563" s="50"/>
      <c r="ED563" s="50"/>
      <c r="EE563" s="50"/>
      <c r="EF563" s="50"/>
      <c r="EG563" s="50"/>
      <c r="EH563" s="50"/>
      <c r="EI563" s="50"/>
      <c r="EJ563" s="50"/>
      <c r="EK563" s="50"/>
      <c r="EL563" s="50"/>
      <c r="EM563" s="50"/>
      <c r="EN563" s="50"/>
      <c r="EO563" s="50"/>
      <c r="EP563" s="50"/>
      <c r="EQ563" s="50"/>
      <c r="ER563" s="50"/>
      <c r="ES563" s="50"/>
      <c r="ET563" s="50"/>
      <c r="EU563" s="50"/>
      <c r="EV563" s="50"/>
      <c r="EW563" s="50"/>
      <c r="EX563" s="50"/>
      <c r="EY563" s="50"/>
      <c r="EZ563" s="50"/>
      <c r="FA563" s="50"/>
      <c r="FB563" s="50"/>
      <c r="FC563" s="50"/>
      <c r="FD563" s="50"/>
      <c r="FE563" s="50"/>
      <c r="FF563" s="50"/>
      <c r="FG563" s="50"/>
      <c r="FH563" s="50"/>
      <c r="FI563" s="50"/>
      <c r="FJ563" s="50"/>
      <c r="FK563" s="50"/>
      <c r="FL563" s="50"/>
      <c r="FM563" s="50"/>
      <c r="FN563" s="50"/>
      <c r="FO563" s="50"/>
      <c r="FP563" s="50"/>
      <c r="FQ563" s="50"/>
      <c r="FR563" s="50"/>
      <c r="FS563" s="50"/>
      <c r="FT563" s="50"/>
      <c r="FU563" s="50"/>
      <c r="FV563" s="50"/>
      <c r="FW563" s="50"/>
      <c r="FX563" s="50"/>
      <c r="FY563" s="50"/>
      <c r="FZ563" s="50"/>
      <c r="GA563" s="50"/>
      <c r="GB563" s="50"/>
      <c r="GC563" s="50"/>
      <c r="GD563" s="50"/>
      <c r="GE563" s="50"/>
      <c r="GF563" s="50"/>
    </row>
    <row r="564" spans="1:188">
      <c r="A564" s="147"/>
      <c r="B564" s="147"/>
      <c r="C564" s="51"/>
      <c r="D564" s="52"/>
      <c r="E564" s="47"/>
      <c r="F564" s="47"/>
      <c r="G564" s="47"/>
      <c r="H564" s="47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/>
      <c r="AU564" s="50"/>
      <c r="AV564" s="50"/>
      <c r="AW564" s="50"/>
      <c r="AX564" s="50"/>
      <c r="AY564" s="50"/>
      <c r="AZ564" s="50"/>
      <c r="BA564" s="50"/>
      <c r="BB564" s="50"/>
      <c r="BC564" s="50"/>
      <c r="BD564" s="50"/>
      <c r="BE564" s="50"/>
      <c r="BF564" s="50"/>
      <c r="BG564" s="50"/>
      <c r="BH564" s="50"/>
      <c r="BI564" s="50"/>
      <c r="BJ564" s="50"/>
      <c r="BK564" s="50"/>
      <c r="BL564" s="50"/>
      <c r="BM564" s="50"/>
      <c r="BN564" s="50"/>
      <c r="BO564" s="50"/>
      <c r="BP564" s="50"/>
      <c r="BQ564" s="50"/>
      <c r="BR564" s="50"/>
      <c r="BS564" s="50"/>
      <c r="BT564" s="50"/>
      <c r="BU564" s="50"/>
      <c r="BV564" s="50"/>
      <c r="BW564" s="50"/>
      <c r="BX564" s="50"/>
      <c r="BY564" s="50"/>
      <c r="BZ564" s="50"/>
      <c r="CA564" s="50"/>
      <c r="CB564" s="50"/>
      <c r="CC564" s="50"/>
      <c r="CD564" s="50"/>
      <c r="CE564" s="50"/>
      <c r="CF564" s="50"/>
      <c r="CG564" s="50"/>
      <c r="CH564" s="50"/>
      <c r="CI564" s="50"/>
      <c r="CJ564" s="50"/>
      <c r="CK564" s="50"/>
      <c r="CL564" s="50"/>
      <c r="CM564" s="50"/>
      <c r="CN564" s="50"/>
      <c r="CO564" s="50"/>
      <c r="CP564" s="50"/>
      <c r="CQ564" s="50"/>
      <c r="CR564" s="50"/>
      <c r="CS564" s="50"/>
      <c r="CT564" s="50"/>
      <c r="CU564" s="50"/>
      <c r="CV564" s="50"/>
      <c r="CW564" s="50"/>
      <c r="CX564" s="50"/>
      <c r="CY564" s="50"/>
      <c r="CZ564" s="50"/>
      <c r="DA564" s="50"/>
      <c r="DB564" s="50"/>
      <c r="DC564" s="50"/>
      <c r="DD564" s="50"/>
      <c r="DE564" s="50"/>
      <c r="DF564" s="50"/>
      <c r="DG564" s="50"/>
      <c r="DH564" s="50"/>
      <c r="DI564" s="50"/>
      <c r="DJ564" s="50"/>
      <c r="DK564" s="50"/>
      <c r="DL564" s="50"/>
      <c r="DM564" s="50"/>
      <c r="DN564" s="50"/>
      <c r="DO564" s="50"/>
      <c r="DP564" s="50"/>
      <c r="DQ564" s="50"/>
      <c r="DR564" s="50"/>
      <c r="DS564" s="50"/>
      <c r="DT564" s="50"/>
      <c r="DU564" s="50"/>
      <c r="DV564" s="50"/>
      <c r="DW564" s="50"/>
      <c r="DX564" s="50"/>
      <c r="DY564" s="50"/>
      <c r="DZ564" s="50"/>
      <c r="EA564" s="50"/>
      <c r="EB564" s="50"/>
      <c r="EC564" s="50"/>
      <c r="ED564" s="50"/>
      <c r="EE564" s="50"/>
      <c r="EF564" s="50"/>
      <c r="EG564" s="50"/>
      <c r="EH564" s="50"/>
      <c r="EI564" s="50"/>
      <c r="EJ564" s="50"/>
      <c r="EK564" s="50"/>
      <c r="EL564" s="50"/>
      <c r="EM564" s="50"/>
      <c r="EN564" s="50"/>
      <c r="EO564" s="50"/>
      <c r="EP564" s="50"/>
      <c r="EQ564" s="50"/>
      <c r="ER564" s="50"/>
      <c r="ES564" s="50"/>
      <c r="ET564" s="50"/>
      <c r="EU564" s="50"/>
      <c r="EV564" s="50"/>
      <c r="EW564" s="50"/>
      <c r="EX564" s="50"/>
      <c r="EY564" s="50"/>
      <c r="EZ564" s="50"/>
      <c r="FA564" s="50"/>
      <c r="FB564" s="50"/>
      <c r="FC564" s="50"/>
      <c r="FD564" s="50"/>
      <c r="FE564" s="50"/>
      <c r="FF564" s="50"/>
      <c r="FG564" s="50"/>
      <c r="FH564" s="50"/>
      <c r="FI564" s="50"/>
      <c r="FJ564" s="50"/>
      <c r="FK564" s="50"/>
      <c r="FL564" s="50"/>
      <c r="FM564" s="50"/>
      <c r="FN564" s="50"/>
      <c r="FO564" s="50"/>
      <c r="FP564" s="50"/>
      <c r="FQ564" s="50"/>
      <c r="FR564" s="50"/>
      <c r="FS564" s="50"/>
      <c r="FT564" s="50"/>
      <c r="FU564" s="50"/>
      <c r="FV564" s="50"/>
      <c r="FW564" s="50"/>
      <c r="FX564" s="50"/>
      <c r="FY564" s="50"/>
      <c r="FZ564" s="50"/>
      <c r="GA564" s="50"/>
      <c r="GB564" s="50"/>
      <c r="GC564" s="50"/>
      <c r="GD564" s="50"/>
      <c r="GE564" s="50"/>
      <c r="GF564" s="50"/>
    </row>
    <row r="565" spans="1:188">
      <c r="A565" s="147"/>
      <c r="B565" s="147"/>
      <c r="C565" s="51"/>
      <c r="D565" s="52"/>
      <c r="E565" s="47"/>
      <c r="F565" s="47"/>
      <c r="G565" s="47"/>
      <c r="H565" s="47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  <c r="BL565" s="50"/>
      <c r="BM565" s="50"/>
      <c r="BN565" s="50"/>
      <c r="BO565" s="50"/>
      <c r="BP565" s="50"/>
      <c r="BQ565" s="50"/>
      <c r="BR565" s="50"/>
      <c r="BS565" s="50"/>
      <c r="BT565" s="50"/>
      <c r="BU565" s="50"/>
      <c r="BV565" s="50"/>
      <c r="BW565" s="50"/>
      <c r="BX565" s="50"/>
      <c r="BY565" s="50"/>
      <c r="BZ565" s="50"/>
      <c r="CA565" s="50"/>
      <c r="CB565" s="50"/>
      <c r="CC565" s="50"/>
      <c r="CD565" s="50"/>
      <c r="CE565" s="50"/>
      <c r="CF565" s="50"/>
      <c r="CG565" s="50"/>
      <c r="CH565" s="50"/>
      <c r="CI565" s="50"/>
      <c r="CJ565" s="50"/>
      <c r="CK565" s="50"/>
      <c r="CL565" s="50"/>
      <c r="CM565" s="50"/>
      <c r="CN565" s="50"/>
      <c r="CO565" s="50"/>
      <c r="CP565" s="50"/>
      <c r="CQ565" s="50"/>
      <c r="CR565" s="50"/>
      <c r="CS565" s="50"/>
      <c r="CT565" s="50"/>
      <c r="CU565" s="50"/>
      <c r="CV565" s="50"/>
      <c r="CW565" s="50"/>
      <c r="CX565" s="50"/>
      <c r="CY565" s="50"/>
      <c r="CZ565" s="50"/>
      <c r="DA565" s="50"/>
      <c r="DB565" s="50"/>
      <c r="DC565" s="50"/>
      <c r="DD565" s="50"/>
      <c r="DE565" s="50"/>
      <c r="DF565" s="50"/>
      <c r="DG565" s="50"/>
      <c r="DH565" s="50"/>
      <c r="DI565" s="50"/>
      <c r="DJ565" s="50"/>
      <c r="DK565" s="50"/>
      <c r="DL565" s="50"/>
      <c r="DM565" s="50"/>
      <c r="DN565" s="50"/>
      <c r="DO565" s="50"/>
      <c r="DP565" s="50"/>
      <c r="DQ565" s="50"/>
      <c r="DR565" s="50"/>
      <c r="DS565" s="50"/>
      <c r="DT565" s="50"/>
      <c r="DU565" s="50"/>
      <c r="DV565" s="50"/>
      <c r="DW565" s="50"/>
      <c r="DX565" s="50"/>
      <c r="DY565" s="50"/>
      <c r="DZ565" s="50"/>
      <c r="EA565" s="50"/>
      <c r="EB565" s="50"/>
      <c r="EC565" s="50"/>
      <c r="ED565" s="50"/>
      <c r="EE565" s="50"/>
      <c r="EF565" s="50"/>
      <c r="EG565" s="50"/>
      <c r="EH565" s="50"/>
      <c r="EI565" s="50"/>
      <c r="EJ565" s="50"/>
      <c r="EK565" s="50"/>
      <c r="EL565" s="50"/>
      <c r="EM565" s="50"/>
      <c r="EN565" s="50"/>
      <c r="EO565" s="50"/>
      <c r="EP565" s="50"/>
      <c r="EQ565" s="50"/>
      <c r="ER565" s="50"/>
      <c r="ES565" s="50"/>
      <c r="ET565" s="50"/>
      <c r="EU565" s="50"/>
      <c r="EV565" s="50"/>
      <c r="EW565" s="50"/>
      <c r="EX565" s="50"/>
      <c r="EY565" s="50"/>
      <c r="EZ565" s="50"/>
      <c r="FA565" s="50"/>
      <c r="FB565" s="50"/>
      <c r="FC565" s="50"/>
      <c r="FD565" s="50"/>
      <c r="FE565" s="50"/>
      <c r="FF565" s="50"/>
      <c r="FG565" s="50"/>
      <c r="FH565" s="50"/>
      <c r="FI565" s="50"/>
      <c r="FJ565" s="50"/>
      <c r="FK565" s="50"/>
      <c r="FL565" s="50"/>
      <c r="FM565" s="50"/>
      <c r="FN565" s="50"/>
      <c r="FO565" s="50"/>
      <c r="FP565" s="50"/>
      <c r="FQ565" s="50"/>
      <c r="FR565" s="50"/>
      <c r="FS565" s="50"/>
      <c r="FT565" s="50"/>
      <c r="FU565" s="50"/>
      <c r="FV565" s="50"/>
      <c r="FW565" s="50"/>
      <c r="FX565" s="50"/>
      <c r="FY565" s="50"/>
      <c r="FZ565" s="50"/>
      <c r="GA565" s="50"/>
      <c r="GB565" s="50"/>
      <c r="GC565" s="50"/>
      <c r="GD565" s="50"/>
      <c r="GE565" s="50"/>
      <c r="GF565" s="50"/>
    </row>
    <row r="566" spans="1:188">
      <c r="A566" s="147"/>
      <c r="B566" s="147"/>
      <c r="C566" s="51"/>
      <c r="D566" s="52"/>
      <c r="E566" s="47"/>
      <c r="F566" s="47"/>
      <c r="G566" s="47"/>
      <c r="H566" s="47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50"/>
      <c r="AV566" s="50"/>
      <c r="AW566" s="50"/>
      <c r="AX566" s="50"/>
      <c r="AY566" s="50"/>
      <c r="AZ566" s="50"/>
      <c r="BA566" s="50"/>
      <c r="BB566" s="50"/>
      <c r="BC566" s="50"/>
      <c r="BD566" s="50"/>
      <c r="BE566" s="50"/>
      <c r="BF566" s="50"/>
      <c r="BG566" s="50"/>
      <c r="BH566" s="50"/>
      <c r="BI566" s="50"/>
      <c r="BJ566" s="50"/>
      <c r="BK566" s="50"/>
      <c r="BL566" s="50"/>
      <c r="BM566" s="50"/>
      <c r="BN566" s="50"/>
      <c r="BO566" s="50"/>
      <c r="BP566" s="50"/>
      <c r="BQ566" s="50"/>
      <c r="BR566" s="50"/>
      <c r="BS566" s="50"/>
      <c r="BT566" s="50"/>
      <c r="BU566" s="50"/>
      <c r="BV566" s="50"/>
      <c r="BW566" s="50"/>
      <c r="BX566" s="50"/>
      <c r="BY566" s="50"/>
      <c r="BZ566" s="50"/>
      <c r="CA566" s="50"/>
      <c r="CB566" s="50"/>
      <c r="CC566" s="50"/>
      <c r="CD566" s="50"/>
      <c r="CE566" s="50"/>
      <c r="CF566" s="50"/>
      <c r="CG566" s="50"/>
      <c r="CH566" s="50"/>
      <c r="CI566" s="50"/>
      <c r="CJ566" s="50"/>
      <c r="CK566" s="50"/>
      <c r="CL566" s="50"/>
      <c r="CM566" s="50"/>
      <c r="CN566" s="50"/>
      <c r="CO566" s="50"/>
      <c r="CP566" s="50"/>
      <c r="CQ566" s="50"/>
      <c r="CR566" s="50"/>
      <c r="CS566" s="50"/>
      <c r="CT566" s="50"/>
      <c r="CU566" s="50"/>
      <c r="CV566" s="50"/>
      <c r="CW566" s="50"/>
      <c r="CX566" s="50"/>
      <c r="CY566" s="50"/>
      <c r="CZ566" s="50"/>
      <c r="DA566" s="50"/>
      <c r="DB566" s="50"/>
      <c r="DC566" s="50"/>
      <c r="DD566" s="50"/>
      <c r="DE566" s="50"/>
      <c r="DF566" s="50"/>
      <c r="DG566" s="50"/>
      <c r="DH566" s="50"/>
      <c r="DI566" s="50"/>
      <c r="DJ566" s="50"/>
      <c r="DK566" s="50"/>
      <c r="DL566" s="50"/>
      <c r="DM566" s="50"/>
      <c r="DN566" s="50"/>
      <c r="DO566" s="50"/>
      <c r="DP566" s="50"/>
      <c r="DQ566" s="50"/>
      <c r="DR566" s="50"/>
      <c r="DS566" s="50"/>
      <c r="DT566" s="50"/>
      <c r="DU566" s="50"/>
      <c r="DV566" s="50"/>
      <c r="DW566" s="50"/>
      <c r="DX566" s="50"/>
      <c r="DY566" s="50"/>
      <c r="DZ566" s="50"/>
      <c r="EA566" s="50"/>
      <c r="EB566" s="50"/>
      <c r="EC566" s="50"/>
      <c r="ED566" s="50"/>
      <c r="EE566" s="50"/>
      <c r="EF566" s="50"/>
      <c r="EG566" s="50"/>
      <c r="EH566" s="50"/>
      <c r="EI566" s="50"/>
      <c r="EJ566" s="50"/>
      <c r="EK566" s="50"/>
      <c r="EL566" s="50"/>
      <c r="EM566" s="50"/>
      <c r="EN566" s="50"/>
      <c r="EO566" s="50"/>
      <c r="EP566" s="50"/>
      <c r="EQ566" s="50"/>
      <c r="ER566" s="50"/>
      <c r="ES566" s="50"/>
      <c r="ET566" s="50"/>
      <c r="EU566" s="50"/>
      <c r="EV566" s="50"/>
      <c r="EW566" s="50"/>
      <c r="EX566" s="50"/>
      <c r="EY566" s="50"/>
      <c r="EZ566" s="50"/>
      <c r="FA566" s="50"/>
      <c r="FB566" s="50"/>
      <c r="FC566" s="50"/>
      <c r="FD566" s="50"/>
      <c r="FE566" s="50"/>
      <c r="FF566" s="50"/>
      <c r="FG566" s="50"/>
      <c r="FH566" s="50"/>
      <c r="FI566" s="50"/>
      <c r="FJ566" s="50"/>
      <c r="FK566" s="50"/>
      <c r="FL566" s="50"/>
      <c r="FM566" s="50"/>
      <c r="FN566" s="50"/>
      <c r="FO566" s="50"/>
      <c r="FP566" s="50"/>
      <c r="FQ566" s="50"/>
      <c r="FR566" s="50"/>
      <c r="FS566" s="50"/>
      <c r="FT566" s="50"/>
      <c r="FU566" s="50"/>
      <c r="FV566" s="50"/>
      <c r="FW566" s="50"/>
      <c r="FX566" s="50"/>
      <c r="FY566" s="50"/>
      <c r="FZ566" s="50"/>
      <c r="GA566" s="50"/>
      <c r="GB566" s="50"/>
      <c r="GC566" s="50"/>
      <c r="GD566" s="50"/>
      <c r="GE566" s="50"/>
      <c r="GF566" s="50"/>
    </row>
    <row r="567" spans="1:188">
      <c r="A567" s="147"/>
      <c r="B567" s="147"/>
      <c r="C567" s="51"/>
      <c r="D567" s="52"/>
      <c r="E567" s="47"/>
      <c r="F567" s="47"/>
      <c r="G567" s="47"/>
      <c r="H567" s="47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50"/>
      <c r="AT567" s="50"/>
      <c r="AU567" s="50"/>
      <c r="AV567" s="50"/>
      <c r="AW567" s="50"/>
      <c r="AX567" s="50"/>
      <c r="AY567" s="50"/>
      <c r="AZ567" s="50"/>
      <c r="BA567" s="50"/>
      <c r="BB567" s="50"/>
      <c r="BC567" s="50"/>
      <c r="BD567" s="50"/>
      <c r="BE567" s="50"/>
      <c r="BF567" s="50"/>
      <c r="BG567" s="50"/>
      <c r="BH567" s="50"/>
      <c r="BI567" s="50"/>
      <c r="BJ567" s="50"/>
      <c r="BK567" s="50"/>
      <c r="BL567" s="50"/>
      <c r="BM567" s="50"/>
      <c r="BN567" s="50"/>
      <c r="BO567" s="50"/>
      <c r="BP567" s="50"/>
      <c r="BQ567" s="50"/>
      <c r="BR567" s="50"/>
      <c r="BS567" s="50"/>
      <c r="BT567" s="50"/>
      <c r="BU567" s="50"/>
      <c r="BV567" s="50"/>
      <c r="BW567" s="50"/>
      <c r="BX567" s="50"/>
      <c r="BY567" s="50"/>
      <c r="BZ567" s="50"/>
      <c r="CA567" s="50"/>
      <c r="CB567" s="50"/>
      <c r="CC567" s="50"/>
      <c r="CD567" s="50"/>
      <c r="CE567" s="50"/>
      <c r="CF567" s="50"/>
      <c r="CG567" s="50"/>
      <c r="CH567" s="50"/>
      <c r="CI567" s="50"/>
      <c r="CJ567" s="50"/>
      <c r="CK567" s="50"/>
      <c r="CL567" s="50"/>
      <c r="CM567" s="50"/>
      <c r="CN567" s="50"/>
      <c r="CO567" s="50"/>
      <c r="CP567" s="50"/>
      <c r="CQ567" s="50"/>
      <c r="CR567" s="50"/>
      <c r="CS567" s="50"/>
      <c r="CT567" s="50"/>
      <c r="CU567" s="50"/>
      <c r="CV567" s="50"/>
      <c r="CW567" s="50"/>
      <c r="CX567" s="50"/>
      <c r="CY567" s="50"/>
      <c r="CZ567" s="50"/>
      <c r="DA567" s="50"/>
      <c r="DB567" s="50"/>
      <c r="DC567" s="50"/>
      <c r="DD567" s="50"/>
      <c r="DE567" s="50"/>
      <c r="DF567" s="50"/>
      <c r="DG567" s="50"/>
      <c r="DH567" s="50"/>
      <c r="DI567" s="50"/>
      <c r="DJ567" s="50"/>
      <c r="DK567" s="50"/>
      <c r="DL567" s="50"/>
      <c r="DM567" s="50"/>
      <c r="DN567" s="50"/>
      <c r="DO567" s="50"/>
      <c r="DP567" s="50"/>
      <c r="DQ567" s="50"/>
      <c r="DR567" s="50"/>
      <c r="DS567" s="50"/>
      <c r="DT567" s="50"/>
      <c r="DU567" s="50"/>
      <c r="DV567" s="50"/>
      <c r="DW567" s="50"/>
      <c r="DX567" s="50"/>
      <c r="DY567" s="50"/>
      <c r="DZ567" s="50"/>
      <c r="EA567" s="50"/>
      <c r="EB567" s="50"/>
      <c r="EC567" s="50"/>
      <c r="ED567" s="50"/>
      <c r="EE567" s="50"/>
      <c r="EF567" s="50"/>
      <c r="EG567" s="50"/>
      <c r="EH567" s="50"/>
      <c r="EI567" s="50"/>
      <c r="EJ567" s="50"/>
      <c r="EK567" s="50"/>
      <c r="EL567" s="50"/>
      <c r="EM567" s="50"/>
      <c r="EN567" s="50"/>
      <c r="EO567" s="50"/>
      <c r="EP567" s="50"/>
      <c r="EQ567" s="50"/>
      <c r="ER567" s="50"/>
      <c r="ES567" s="50"/>
      <c r="ET567" s="50"/>
      <c r="EU567" s="50"/>
      <c r="EV567" s="50"/>
      <c r="EW567" s="50"/>
      <c r="EX567" s="50"/>
      <c r="EY567" s="50"/>
      <c r="EZ567" s="50"/>
      <c r="FA567" s="50"/>
      <c r="FB567" s="50"/>
      <c r="FC567" s="50"/>
      <c r="FD567" s="50"/>
      <c r="FE567" s="50"/>
      <c r="FF567" s="50"/>
      <c r="FG567" s="50"/>
      <c r="FH567" s="50"/>
      <c r="FI567" s="50"/>
      <c r="FJ567" s="50"/>
      <c r="FK567" s="50"/>
      <c r="FL567" s="50"/>
      <c r="FM567" s="50"/>
      <c r="FN567" s="50"/>
      <c r="FO567" s="50"/>
      <c r="FP567" s="50"/>
      <c r="FQ567" s="50"/>
      <c r="FR567" s="50"/>
      <c r="FS567" s="50"/>
      <c r="FT567" s="50"/>
      <c r="FU567" s="50"/>
      <c r="FV567" s="50"/>
      <c r="FW567" s="50"/>
      <c r="FX567" s="50"/>
      <c r="FY567" s="50"/>
      <c r="FZ567" s="50"/>
      <c r="GA567" s="50"/>
      <c r="GB567" s="50"/>
      <c r="GC567" s="50"/>
      <c r="GD567" s="50"/>
      <c r="GE567" s="50"/>
      <c r="GF567" s="50"/>
    </row>
    <row r="568" spans="1:188">
      <c r="A568" s="147"/>
      <c r="B568" s="147"/>
      <c r="C568" s="51"/>
      <c r="D568" s="52"/>
      <c r="E568" s="47"/>
      <c r="F568" s="47"/>
      <c r="G568" s="47"/>
      <c r="H568" s="47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50"/>
      <c r="AT568" s="50"/>
      <c r="AU568" s="50"/>
      <c r="AV568" s="50"/>
      <c r="AW568" s="50"/>
      <c r="AX568" s="50"/>
      <c r="AY568" s="50"/>
      <c r="AZ568" s="50"/>
      <c r="BA568" s="50"/>
      <c r="BB568" s="50"/>
      <c r="BC568" s="50"/>
      <c r="BD568" s="50"/>
      <c r="BE568" s="50"/>
      <c r="BF568" s="50"/>
      <c r="BG568" s="50"/>
      <c r="BH568" s="50"/>
      <c r="BI568" s="50"/>
      <c r="BJ568" s="50"/>
      <c r="BK568" s="50"/>
      <c r="BL568" s="50"/>
      <c r="BM568" s="50"/>
      <c r="BN568" s="50"/>
      <c r="BO568" s="50"/>
      <c r="BP568" s="50"/>
      <c r="BQ568" s="50"/>
      <c r="BR568" s="50"/>
      <c r="BS568" s="50"/>
      <c r="BT568" s="50"/>
      <c r="BU568" s="50"/>
      <c r="BV568" s="50"/>
      <c r="BW568" s="50"/>
      <c r="BX568" s="50"/>
      <c r="BY568" s="50"/>
      <c r="BZ568" s="50"/>
      <c r="CA568" s="50"/>
      <c r="CB568" s="50"/>
      <c r="CC568" s="50"/>
      <c r="CD568" s="50"/>
      <c r="CE568" s="50"/>
      <c r="CF568" s="50"/>
      <c r="CG568" s="50"/>
      <c r="CH568" s="50"/>
      <c r="CI568" s="50"/>
      <c r="CJ568" s="50"/>
      <c r="CK568" s="50"/>
      <c r="CL568" s="50"/>
      <c r="CM568" s="50"/>
      <c r="CN568" s="50"/>
      <c r="CO568" s="50"/>
      <c r="CP568" s="50"/>
      <c r="CQ568" s="50"/>
      <c r="CR568" s="50"/>
      <c r="CS568" s="50"/>
      <c r="CT568" s="50"/>
      <c r="CU568" s="50"/>
      <c r="CV568" s="50"/>
      <c r="CW568" s="50"/>
      <c r="CX568" s="50"/>
      <c r="CY568" s="50"/>
      <c r="CZ568" s="50"/>
      <c r="DA568" s="50"/>
      <c r="DB568" s="50"/>
      <c r="DC568" s="50"/>
      <c r="DD568" s="50"/>
      <c r="DE568" s="50"/>
      <c r="DF568" s="50"/>
      <c r="DG568" s="50"/>
      <c r="DH568" s="50"/>
      <c r="DI568" s="50"/>
      <c r="DJ568" s="50"/>
      <c r="DK568" s="50"/>
      <c r="DL568" s="50"/>
      <c r="DM568" s="50"/>
      <c r="DN568" s="50"/>
      <c r="DO568" s="50"/>
      <c r="DP568" s="50"/>
      <c r="DQ568" s="50"/>
      <c r="DR568" s="50"/>
      <c r="DS568" s="50"/>
      <c r="DT568" s="50"/>
      <c r="DU568" s="50"/>
      <c r="DV568" s="50"/>
      <c r="DW568" s="50"/>
      <c r="DX568" s="50"/>
      <c r="DY568" s="50"/>
      <c r="DZ568" s="50"/>
      <c r="EA568" s="50"/>
      <c r="EB568" s="50"/>
      <c r="EC568" s="50"/>
      <c r="ED568" s="50"/>
      <c r="EE568" s="50"/>
      <c r="EF568" s="50"/>
      <c r="EG568" s="50"/>
      <c r="EH568" s="50"/>
      <c r="EI568" s="50"/>
      <c r="EJ568" s="50"/>
      <c r="EK568" s="50"/>
      <c r="EL568" s="50"/>
      <c r="EM568" s="50"/>
      <c r="EN568" s="50"/>
      <c r="EO568" s="50"/>
      <c r="EP568" s="50"/>
      <c r="EQ568" s="50"/>
      <c r="ER568" s="50"/>
      <c r="ES568" s="50"/>
      <c r="ET568" s="50"/>
      <c r="EU568" s="50"/>
      <c r="EV568" s="50"/>
      <c r="EW568" s="50"/>
      <c r="EX568" s="50"/>
      <c r="EY568" s="50"/>
      <c r="EZ568" s="50"/>
      <c r="FA568" s="50"/>
      <c r="FB568" s="50"/>
      <c r="FC568" s="50"/>
      <c r="FD568" s="50"/>
      <c r="FE568" s="50"/>
      <c r="FF568" s="50"/>
      <c r="FG568" s="50"/>
      <c r="FH568" s="50"/>
      <c r="FI568" s="50"/>
      <c r="FJ568" s="50"/>
      <c r="FK568" s="50"/>
      <c r="FL568" s="50"/>
      <c r="FM568" s="50"/>
      <c r="FN568" s="50"/>
      <c r="FO568" s="50"/>
      <c r="FP568" s="50"/>
      <c r="FQ568" s="50"/>
      <c r="FR568" s="50"/>
      <c r="FS568" s="50"/>
      <c r="FT568" s="50"/>
      <c r="FU568" s="50"/>
      <c r="FV568" s="50"/>
      <c r="FW568" s="50"/>
      <c r="FX568" s="50"/>
      <c r="FY568" s="50"/>
      <c r="FZ568" s="50"/>
      <c r="GA568" s="50"/>
      <c r="GB568" s="50"/>
      <c r="GC568" s="50"/>
      <c r="GD568" s="50"/>
      <c r="GE568" s="50"/>
      <c r="GF568" s="50"/>
    </row>
    <row r="569" spans="1:188">
      <c r="A569" s="147"/>
      <c r="B569" s="147"/>
      <c r="C569" s="51"/>
      <c r="D569" s="52"/>
      <c r="E569" s="47"/>
      <c r="F569" s="47"/>
      <c r="G569" s="47"/>
      <c r="H569" s="47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50"/>
      <c r="AW569" s="50"/>
      <c r="AX569" s="50"/>
      <c r="AY569" s="50"/>
      <c r="AZ569" s="50"/>
      <c r="BA569" s="50"/>
      <c r="BB569" s="50"/>
      <c r="BC569" s="50"/>
      <c r="BD569" s="50"/>
      <c r="BE569" s="50"/>
      <c r="BF569" s="50"/>
      <c r="BG569" s="50"/>
      <c r="BH569" s="50"/>
      <c r="BI569" s="50"/>
      <c r="BJ569" s="50"/>
      <c r="BK569" s="50"/>
      <c r="BL569" s="50"/>
      <c r="BM569" s="50"/>
      <c r="BN569" s="50"/>
      <c r="BO569" s="50"/>
      <c r="BP569" s="50"/>
      <c r="BQ569" s="50"/>
      <c r="BR569" s="50"/>
      <c r="BS569" s="50"/>
      <c r="BT569" s="50"/>
      <c r="BU569" s="50"/>
      <c r="BV569" s="50"/>
      <c r="BW569" s="50"/>
      <c r="BX569" s="50"/>
      <c r="BY569" s="50"/>
      <c r="BZ569" s="50"/>
      <c r="CA569" s="50"/>
      <c r="CB569" s="50"/>
      <c r="CC569" s="50"/>
      <c r="CD569" s="50"/>
      <c r="CE569" s="50"/>
      <c r="CF569" s="50"/>
      <c r="CG569" s="50"/>
      <c r="CH569" s="50"/>
      <c r="CI569" s="50"/>
      <c r="CJ569" s="50"/>
      <c r="CK569" s="50"/>
      <c r="CL569" s="50"/>
      <c r="CM569" s="50"/>
      <c r="CN569" s="50"/>
      <c r="CO569" s="50"/>
      <c r="CP569" s="50"/>
      <c r="CQ569" s="50"/>
      <c r="CR569" s="50"/>
      <c r="CS569" s="50"/>
      <c r="CT569" s="50"/>
      <c r="CU569" s="50"/>
      <c r="CV569" s="50"/>
      <c r="CW569" s="50"/>
      <c r="CX569" s="50"/>
      <c r="CY569" s="50"/>
      <c r="CZ569" s="50"/>
      <c r="DA569" s="50"/>
      <c r="DB569" s="50"/>
      <c r="DC569" s="50"/>
      <c r="DD569" s="50"/>
      <c r="DE569" s="50"/>
      <c r="DF569" s="50"/>
      <c r="DG569" s="50"/>
      <c r="DH569" s="50"/>
      <c r="DI569" s="50"/>
      <c r="DJ569" s="50"/>
      <c r="DK569" s="50"/>
      <c r="DL569" s="50"/>
      <c r="DM569" s="50"/>
      <c r="DN569" s="50"/>
      <c r="DO569" s="50"/>
      <c r="DP569" s="50"/>
      <c r="DQ569" s="50"/>
      <c r="DR569" s="50"/>
      <c r="DS569" s="50"/>
      <c r="DT569" s="50"/>
      <c r="DU569" s="50"/>
      <c r="DV569" s="50"/>
      <c r="DW569" s="50"/>
      <c r="DX569" s="50"/>
      <c r="DY569" s="50"/>
      <c r="DZ569" s="50"/>
      <c r="EA569" s="50"/>
      <c r="EB569" s="50"/>
      <c r="EC569" s="50"/>
      <c r="ED569" s="50"/>
      <c r="EE569" s="50"/>
      <c r="EF569" s="50"/>
      <c r="EG569" s="50"/>
      <c r="EH569" s="50"/>
      <c r="EI569" s="50"/>
      <c r="EJ569" s="50"/>
      <c r="EK569" s="50"/>
      <c r="EL569" s="50"/>
      <c r="EM569" s="50"/>
      <c r="EN569" s="50"/>
      <c r="EO569" s="50"/>
      <c r="EP569" s="50"/>
      <c r="EQ569" s="50"/>
      <c r="ER569" s="50"/>
      <c r="ES569" s="50"/>
      <c r="ET569" s="50"/>
      <c r="EU569" s="50"/>
      <c r="EV569" s="50"/>
      <c r="EW569" s="50"/>
      <c r="EX569" s="50"/>
      <c r="EY569" s="50"/>
      <c r="EZ569" s="50"/>
      <c r="FA569" s="50"/>
      <c r="FB569" s="50"/>
      <c r="FC569" s="50"/>
      <c r="FD569" s="50"/>
      <c r="FE569" s="50"/>
      <c r="FF569" s="50"/>
      <c r="FG569" s="50"/>
      <c r="FH569" s="50"/>
      <c r="FI569" s="50"/>
      <c r="FJ569" s="50"/>
      <c r="FK569" s="50"/>
      <c r="FL569" s="50"/>
      <c r="FM569" s="50"/>
      <c r="FN569" s="50"/>
      <c r="FO569" s="50"/>
      <c r="FP569" s="50"/>
      <c r="FQ569" s="50"/>
      <c r="FR569" s="50"/>
      <c r="FS569" s="50"/>
      <c r="FT569" s="50"/>
      <c r="FU569" s="50"/>
      <c r="FV569" s="50"/>
      <c r="FW569" s="50"/>
      <c r="FX569" s="50"/>
      <c r="FY569" s="50"/>
      <c r="FZ569" s="50"/>
      <c r="GA569" s="50"/>
      <c r="GB569" s="50"/>
      <c r="GC569" s="50"/>
      <c r="GD569" s="50"/>
      <c r="GE569" s="50"/>
      <c r="GF569" s="50"/>
    </row>
    <row r="570" spans="1:188">
      <c r="A570" s="147"/>
      <c r="B570" s="147"/>
      <c r="C570" s="51"/>
      <c r="D570" s="52"/>
      <c r="E570" s="47"/>
      <c r="F570" s="47"/>
      <c r="G570" s="47"/>
      <c r="H570" s="47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50"/>
      <c r="AW570" s="50"/>
      <c r="AX570" s="50"/>
      <c r="AY570" s="50"/>
      <c r="AZ570" s="50"/>
      <c r="BA570" s="50"/>
      <c r="BB570" s="50"/>
      <c r="BC570" s="50"/>
      <c r="BD570" s="50"/>
      <c r="BE570" s="50"/>
      <c r="BF570" s="50"/>
      <c r="BG570" s="50"/>
      <c r="BH570" s="50"/>
      <c r="BI570" s="50"/>
      <c r="BJ570" s="50"/>
      <c r="BK570" s="50"/>
      <c r="BL570" s="50"/>
      <c r="BM570" s="50"/>
      <c r="BN570" s="50"/>
      <c r="BO570" s="50"/>
      <c r="BP570" s="50"/>
      <c r="BQ570" s="50"/>
      <c r="BR570" s="50"/>
      <c r="BS570" s="50"/>
      <c r="BT570" s="50"/>
      <c r="BU570" s="50"/>
      <c r="BV570" s="50"/>
      <c r="BW570" s="50"/>
      <c r="BX570" s="50"/>
      <c r="BY570" s="50"/>
      <c r="BZ570" s="50"/>
      <c r="CA570" s="50"/>
      <c r="CB570" s="50"/>
      <c r="CC570" s="50"/>
      <c r="CD570" s="50"/>
      <c r="CE570" s="50"/>
      <c r="CF570" s="50"/>
      <c r="CG570" s="50"/>
      <c r="CH570" s="50"/>
      <c r="CI570" s="50"/>
      <c r="CJ570" s="50"/>
      <c r="CK570" s="50"/>
      <c r="CL570" s="50"/>
      <c r="CM570" s="50"/>
      <c r="CN570" s="50"/>
      <c r="CO570" s="50"/>
      <c r="CP570" s="50"/>
      <c r="CQ570" s="50"/>
      <c r="CR570" s="50"/>
      <c r="CS570" s="50"/>
      <c r="CT570" s="50"/>
      <c r="CU570" s="50"/>
      <c r="CV570" s="50"/>
      <c r="CW570" s="50"/>
      <c r="CX570" s="50"/>
      <c r="CY570" s="50"/>
      <c r="CZ570" s="50"/>
      <c r="DA570" s="50"/>
      <c r="DB570" s="50"/>
      <c r="DC570" s="50"/>
      <c r="DD570" s="50"/>
      <c r="DE570" s="50"/>
      <c r="DF570" s="50"/>
      <c r="DG570" s="50"/>
      <c r="DH570" s="50"/>
      <c r="DI570" s="50"/>
      <c r="DJ570" s="50"/>
      <c r="DK570" s="50"/>
      <c r="DL570" s="50"/>
      <c r="DM570" s="50"/>
      <c r="DN570" s="50"/>
      <c r="DO570" s="50"/>
      <c r="DP570" s="50"/>
      <c r="DQ570" s="50"/>
      <c r="DR570" s="50"/>
      <c r="DS570" s="50"/>
      <c r="DT570" s="50"/>
      <c r="DU570" s="50"/>
      <c r="DV570" s="50"/>
      <c r="DW570" s="50"/>
      <c r="DX570" s="50"/>
      <c r="DY570" s="50"/>
      <c r="DZ570" s="50"/>
      <c r="EA570" s="50"/>
      <c r="EB570" s="50"/>
      <c r="EC570" s="50"/>
      <c r="ED570" s="50"/>
      <c r="EE570" s="50"/>
      <c r="EF570" s="50"/>
      <c r="EG570" s="50"/>
      <c r="EH570" s="50"/>
      <c r="EI570" s="50"/>
      <c r="EJ570" s="50"/>
      <c r="EK570" s="50"/>
      <c r="EL570" s="50"/>
      <c r="EM570" s="50"/>
      <c r="EN570" s="50"/>
      <c r="EO570" s="50"/>
      <c r="EP570" s="50"/>
      <c r="EQ570" s="50"/>
      <c r="ER570" s="50"/>
      <c r="ES570" s="50"/>
      <c r="ET570" s="50"/>
      <c r="EU570" s="50"/>
      <c r="EV570" s="50"/>
      <c r="EW570" s="50"/>
      <c r="EX570" s="50"/>
      <c r="EY570" s="50"/>
      <c r="EZ570" s="50"/>
      <c r="FA570" s="50"/>
      <c r="FB570" s="50"/>
      <c r="FC570" s="50"/>
      <c r="FD570" s="50"/>
      <c r="FE570" s="50"/>
      <c r="FF570" s="50"/>
      <c r="FG570" s="50"/>
      <c r="FH570" s="50"/>
      <c r="FI570" s="50"/>
      <c r="FJ570" s="50"/>
      <c r="FK570" s="50"/>
      <c r="FL570" s="50"/>
      <c r="FM570" s="50"/>
      <c r="FN570" s="50"/>
      <c r="FO570" s="50"/>
      <c r="FP570" s="50"/>
      <c r="FQ570" s="50"/>
      <c r="FR570" s="50"/>
      <c r="FS570" s="50"/>
      <c r="FT570" s="50"/>
      <c r="FU570" s="50"/>
      <c r="FV570" s="50"/>
      <c r="FW570" s="50"/>
      <c r="FX570" s="50"/>
      <c r="FY570" s="50"/>
      <c r="FZ570" s="50"/>
      <c r="GA570" s="50"/>
      <c r="GB570" s="50"/>
      <c r="GC570" s="50"/>
      <c r="GD570" s="50"/>
      <c r="GE570" s="50"/>
      <c r="GF570" s="50"/>
    </row>
    <row r="571" spans="1:188">
      <c r="A571" s="147"/>
      <c r="B571" s="147"/>
      <c r="C571" s="51"/>
      <c r="D571" s="52"/>
      <c r="E571" s="47"/>
      <c r="F571" s="47"/>
      <c r="G571" s="47"/>
      <c r="H571" s="47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50"/>
      <c r="AW571" s="50"/>
      <c r="AX571" s="50"/>
      <c r="AY571" s="50"/>
      <c r="AZ571" s="50"/>
      <c r="BA571" s="50"/>
      <c r="BB571" s="50"/>
      <c r="BC571" s="50"/>
      <c r="BD571" s="50"/>
      <c r="BE571" s="50"/>
      <c r="BF571" s="50"/>
      <c r="BG571" s="50"/>
      <c r="BH571" s="50"/>
      <c r="BI571" s="50"/>
      <c r="BJ571" s="50"/>
      <c r="BK571" s="50"/>
      <c r="BL571" s="50"/>
      <c r="BM571" s="50"/>
      <c r="BN571" s="50"/>
      <c r="BO571" s="50"/>
      <c r="BP571" s="50"/>
      <c r="BQ571" s="50"/>
      <c r="BR571" s="50"/>
      <c r="BS571" s="50"/>
      <c r="BT571" s="50"/>
      <c r="BU571" s="50"/>
      <c r="BV571" s="50"/>
      <c r="BW571" s="50"/>
      <c r="BX571" s="50"/>
      <c r="BY571" s="50"/>
      <c r="BZ571" s="50"/>
      <c r="CA571" s="50"/>
      <c r="CB571" s="50"/>
      <c r="CC571" s="50"/>
      <c r="CD571" s="50"/>
      <c r="CE571" s="50"/>
      <c r="CF571" s="50"/>
      <c r="CG571" s="50"/>
      <c r="CH571" s="50"/>
      <c r="CI571" s="50"/>
      <c r="CJ571" s="50"/>
      <c r="CK571" s="50"/>
      <c r="CL571" s="50"/>
      <c r="CM571" s="50"/>
      <c r="CN571" s="50"/>
      <c r="CO571" s="50"/>
      <c r="CP571" s="50"/>
      <c r="CQ571" s="50"/>
      <c r="CR571" s="50"/>
      <c r="CS571" s="50"/>
      <c r="CT571" s="50"/>
      <c r="CU571" s="50"/>
      <c r="CV571" s="50"/>
      <c r="CW571" s="50"/>
      <c r="CX571" s="50"/>
      <c r="CY571" s="50"/>
      <c r="CZ571" s="50"/>
      <c r="DA571" s="50"/>
      <c r="DB571" s="50"/>
      <c r="DC571" s="50"/>
      <c r="DD571" s="50"/>
      <c r="DE571" s="50"/>
      <c r="DF571" s="50"/>
      <c r="DG571" s="50"/>
      <c r="DH571" s="50"/>
      <c r="DI571" s="50"/>
      <c r="DJ571" s="50"/>
      <c r="DK571" s="50"/>
      <c r="DL571" s="50"/>
      <c r="DM571" s="50"/>
      <c r="DN571" s="50"/>
      <c r="DO571" s="50"/>
      <c r="DP571" s="50"/>
      <c r="DQ571" s="50"/>
      <c r="DR571" s="50"/>
      <c r="DS571" s="50"/>
      <c r="DT571" s="50"/>
      <c r="DU571" s="50"/>
      <c r="DV571" s="50"/>
      <c r="DW571" s="50"/>
      <c r="DX571" s="50"/>
      <c r="DY571" s="50"/>
      <c r="DZ571" s="50"/>
      <c r="EA571" s="50"/>
      <c r="EB571" s="50"/>
      <c r="EC571" s="50"/>
      <c r="ED571" s="50"/>
      <c r="EE571" s="50"/>
      <c r="EF571" s="50"/>
      <c r="EG571" s="50"/>
      <c r="EH571" s="50"/>
      <c r="EI571" s="50"/>
      <c r="EJ571" s="50"/>
      <c r="EK571" s="50"/>
      <c r="EL571" s="50"/>
      <c r="EM571" s="50"/>
      <c r="EN571" s="50"/>
      <c r="EO571" s="50"/>
      <c r="EP571" s="50"/>
      <c r="EQ571" s="50"/>
      <c r="ER571" s="50"/>
      <c r="ES571" s="50"/>
      <c r="ET571" s="50"/>
      <c r="EU571" s="50"/>
      <c r="EV571" s="50"/>
      <c r="EW571" s="50"/>
      <c r="EX571" s="50"/>
      <c r="EY571" s="50"/>
      <c r="EZ571" s="50"/>
      <c r="FA571" s="50"/>
      <c r="FB571" s="50"/>
      <c r="FC571" s="50"/>
      <c r="FD571" s="50"/>
      <c r="FE571" s="50"/>
      <c r="FF571" s="50"/>
      <c r="FG571" s="50"/>
      <c r="FH571" s="50"/>
      <c r="FI571" s="50"/>
      <c r="FJ571" s="50"/>
      <c r="FK571" s="50"/>
      <c r="FL571" s="50"/>
      <c r="FM571" s="50"/>
      <c r="FN571" s="50"/>
      <c r="FO571" s="50"/>
      <c r="FP571" s="50"/>
      <c r="FQ571" s="50"/>
      <c r="FR571" s="50"/>
      <c r="FS571" s="50"/>
      <c r="FT571" s="50"/>
      <c r="FU571" s="50"/>
      <c r="FV571" s="50"/>
      <c r="FW571" s="50"/>
      <c r="FX571" s="50"/>
      <c r="FY571" s="50"/>
      <c r="FZ571" s="50"/>
      <c r="GA571" s="50"/>
      <c r="GB571" s="50"/>
      <c r="GC571" s="50"/>
      <c r="GD571" s="50"/>
      <c r="GE571" s="50"/>
      <c r="GF571" s="50"/>
    </row>
  </sheetData>
  <autoFilter ref="A1:GF391"/>
  <conditionalFormatting sqref="B2">
    <cfRule type="duplicateValues" dxfId="14" priority="1"/>
  </conditionalFormatting>
  <conditionalFormatting sqref="B317">
    <cfRule type="duplicateValues" dxfId="13" priority="6"/>
  </conditionalFormatting>
  <conditionalFormatting sqref="B318:B338">
    <cfRule type="duplicateValues" dxfId="12" priority="8"/>
  </conditionalFormatting>
  <conditionalFormatting sqref="B339">
    <cfRule type="duplicateValues" dxfId="11" priority="4"/>
  </conditionalFormatting>
  <conditionalFormatting sqref="B343:B388 B340:B341">
    <cfRule type="duplicateValues" dxfId="10" priority="188"/>
  </conditionalFormatting>
  <conditionalFormatting sqref="B389:B391">
    <cfRule type="duplicateValues" dxfId="9" priority="2"/>
  </conditionalFormatting>
  <conditionalFormatting sqref="B392:B1048576 B3:B316">
    <cfRule type="duplicateValues" dxfId="8" priority="9"/>
  </conditionalFormatting>
  <conditionalFormatting sqref="C317">
    <cfRule type="duplicateValues" dxfId="7" priority="5"/>
  </conditionalFormatting>
  <conditionalFormatting sqref="C339">
    <cfRule type="duplicateValues" dxfId="6" priority="3"/>
  </conditionalFormatting>
  <printOptions horizontalCentered="1"/>
  <pageMargins left="0" right="0" top="0.19685039370078741" bottom="0.19685039370078741" header="0.31496062992125984" footer="0.31496062992125984"/>
  <pageSetup paperSize="9" scale="85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0"/>
  <sheetViews>
    <sheetView topLeftCell="A131" workbookViewId="0">
      <selection activeCell="N122" sqref="N122"/>
    </sheetView>
  </sheetViews>
  <sheetFormatPr defaultColWidth="9.140625" defaultRowHeight="12.75"/>
  <cols>
    <col min="1" max="2" width="3.42578125" style="574" customWidth="1"/>
    <col min="3" max="4" width="2.7109375" style="574" customWidth="1"/>
    <col min="5" max="5" width="3.42578125" style="574" customWidth="1"/>
    <col min="6" max="6" width="40.7109375" style="421" customWidth="1"/>
    <col min="7" max="7" width="13.140625" style="459" bestFit="1" customWidth="1"/>
    <col min="8" max="8" width="12.85546875" style="459" bestFit="1" customWidth="1"/>
    <col min="9" max="9" width="13" style="570" customWidth="1"/>
    <col min="10" max="10" width="13" style="570" bestFit="1" customWidth="1"/>
    <col min="11" max="11" width="12" style="571" bestFit="1" customWidth="1"/>
    <col min="12" max="12" width="9.42578125" style="572" bestFit="1" customWidth="1"/>
    <col min="13" max="13" width="13.42578125" style="421" bestFit="1" customWidth="1"/>
    <col min="14" max="14" width="13.85546875" style="421" bestFit="1" customWidth="1"/>
    <col min="15" max="16" width="9.140625" style="421"/>
    <col min="17" max="17" width="12.7109375" style="421" bestFit="1" customWidth="1"/>
    <col min="18" max="18" width="9.140625" style="421"/>
    <col min="19" max="19" width="10.85546875" style="421" bestFit="1" customWidth="1"/>
    <col min="20" max="16384" width="9.140625" style="421"/>
  </cols>
  <sheetData>
    <row r="1" spans="1:20" ht="32.25" customHeight="1" thickBot="1">
      <c r="A1" s="844" t="s">
        <v>2662</v>
      </c>
      <c r="B1" s="845"/>
      <c r="C1" s="845"/>
      <c r="D1" s="845"/>
      <c r="E1" s="845"/>
      <c r="F1" s="845"/>
      <c r="G1" s="845"/>
      <c r="H1" s="845"/>
      <c r="I1" s="845"/>
      <c r="J1" s="845"/>
      <c r="K1" s="846" t="s">
        <v>2663</v>
      </c>
      <c r="L1" s="847"/>
    </row>
    <row r="2" spans="1:20" ht="7.5" customHeight="1" thickBot="1">
      <c r="A2" s="422"/>
      <c r="B2" s="422"/>
      <c r="C2" s="422"/>
      <c r="D2" s="422"/>
      <c r="E2" s="422"/>
      <c r="F2" s="423"/>
      <c r="G2" s="424"/>
      <c r="H2" s="424"/>
      <c r="I2" s="425"/>
      <c r="J2" s="426"/>
      <c r="K2" s="427"/>
      <c r="L2" s="428"/>
    </row>
    <row r="3" spans="1:20" ht="13.15" customHeight="1">
      <c r="A3" s="848" t="s">
        <v>1823</v>
      </c>
      <c r="B3" s="849"/>
      <c r="C3" s="849"/>
      <c r="D3" s="849"/>
      <c r="E3" s="849"/>
      <c r="F3" s="849"/>
      <c r="G3" s="849"/>
      <c r="H3" s="849"/>
      <c r="I3" s="853" t="s">
        <v>3896</v>
      </c>
      <c r="J3" s="853" t="s">
        <v>2664</v>
      </c>
      <c r="K3" s="855" t="s">
        <v>3897</v>
      </c>
      <c r="L3" s="856"/>
    </row>
    <row r="4" spans="1:20" ht="39.75" customHeight="1">
      <c r="A4" s="850"/>
      <c r="B4" s="851"/>
      <c r="C4" s="851"/>
      <c r="D4" s="851"/>
      <c r="E4" s="851"/>
      <c r="F4" s="851"/>
      <c r="G4" s="852"/>
      <c r="H4" s="851"/>
      <c r="I4" s="854"/>
      <c r="J4" s="854"/>
      <c r="K4" s="429" t="s">
        <v>2</v>
      </c>
      <c r="L4" s="430" t="s">
        <v>3</v>
      </c>
    </row>
    <row r="5" spans="1:20">
      <c r="A5" s="431"/>
      <c r="B5" s="432"/>
      <c r="C5" s="432"/>
      <c r="D5" s="432"/>
      <c r="E5" s="432"/>
      <c r="F5" s="433"/>
      <c r="G5" s="434"/>
      <c r="H5" s="435"/>
      <c r="I5" s="436"/>
      <c r="J5" s="436"/>
      <c r="K5" s="437"/>
      <c r="L5" s="438"/>
    </row>
    <row r="6" spans="1:20" s="448" customFormat="1" ht="11.25">
      <c r="A6" s="439" t="s">
        <v>4</v>
      </c>
      <c r="B6" s="440" t="s">
        <v>2665</v>
      </c>
      <c r="C6" s="441"/>
      <c r="D6" s="441"/>
      <c r="E6" s="441"/>
      <c r="F6" s="442"/>
      <c r="G6" s="443"/>
      <c r="H6" s="443"/>
      <c r="I6" s="444"/>
      <c r="J6" s="445"/>
      <c r="K6" s="446"/>
      <c r="L6" s="447"/>
    </row>
    <row r="7" spans="1:20" s="448" customFormat="1" ht="11.25">
      <c r="A7" s="449"/>
      <c r="B7" s="441" t="s">
        <v>2666</v>
      </c>
      <c r="C7" s="450" t="s">
        <v>2667</v>
      </c>
      <c r="D7" s="441"/>
      <c r="E7" s="441"/>
      <c r="F7" s="442"/>
      <c r="G7" s="443"/>
      <c r="H7" s="443"/>
      <c r="I7" s="451">
        <f>SUM(I8:I12)</f>
        <v>2340</v>
      </c>
      <c r="J7" s="451">
        <v>6068</v>
      </c>
      <c r="K7" s="452">
        <f>+I7-J7</f>
        <v>-3728</v>
      </c>
      <c r="L7" s="154">
        <f>IF(J7=0,"-    ",K7/J7)</f>
        <v>-0.61437046802900463</v>
      </c>
      <c r="M7" s="453"/>
    </row>
    <row r="8" spans="1:20" s="459" customFormat="1" ht="11.25">
      <c r="A8" s="439"/>
      <c r="B8" s="441"/>
      <c r="C8" s="454" t="s">
        <v>86</v>
      </c>
      <c r="D8" s="162" t="s">
        <v>2668</v>
      </c>
      <c r="E8" s="441"/>
      <c r="F8" s="455"/>
      <c r="G8" s="456"/>
      <c r="H8" s="456"/>
      <c r="I8" s="457">
        <f>ROUND(+'SP Min'!D32-'SP Min'!D54,0)</f>
        <v>0</v>
      </c>
      <c r="J8" s="457">
        <v>0</v>
      </c>
      <c r="K8" s="452">
        <f t="shared" ref="K8:K37" si="0">+I8-J8</f>
        <v>0</v>
      </c>
      <c r="L8" s="458" t="str">
        <f t="shared" ref="L8:L36" si="1">IF(J8=0,"-    ",K8/J8)</f>
        <v xml:space="preserve">-    </v>
      </c>
      <c r="M8" s="453"/>
    </row>
    <row r="9" spans="1:20" s="459" customFormat="1" ht="11.25">
      <c r="A9" s="460"/>
      <c r="B9" s="441"/>
      <c r="C9" s="454" t="s">
        <v>88</v>
      </c>
      <c r="D9" s="162" t="s">
        <v>2669</v>
      </c>
      <c r="E9" s="441"/>
      <c r="F9" s="461"/>
      <c r="G9" s="456"/>
      <c r="H9" s="456"/>
      <c r="I9" s="462">
        <f>ROUND(+'SP Min'!D35-'SP Min'!D55,0)</f>
        <v>0</v>
      </c>
      <c r="J9" s="462">
        <v>0</v>
      </c>
      <c r="K9" s="452">
        <f t="shared" si="0"/>
        <v>0</v>
      </c>
      <c r="L9" s="458" t="str">
        <f t="shared" si="1"/>
        <v xml:space="preserve">-    </v>
      </c>
      <c r="M9" s="453"/>
    </row>
    <row r="10" spans="1:20" s="459" customFormat="1" ht="11.25">
      <c r="A10" s="460"/>
      <c r="B10" s="441"/>
      <c r="C10" s="454" t="s">
        <v>116</v>
      </c>
      <c r="D10" s="162" t="s">
        <v>2670</v>
      </c>
      <c r="E10" s="441"/>
      <c r="F10" s="461"/>
      <c r="G10" s="456"/>
      <c r="H10" s="456"/>
      <c r="I10" s="462">
        <f>ROUND(+'SP Min'!D38-'SP Min'!D56,0)</f>
        <v>0</v>
      </c>
      <c r="J10" s="462">
        <v>0</v>
      </c>
      <c r="K10" s="452">
        <f t="shared" si="0"/>
        <v>0</v>
      </c>
      <c r="L10" s="458" t="str">
        <f t="shared" si="1"/>
        <v xml:space="preserve">-    </v>
      </c>
      <c r="M10" s="453"/>
      <c r="Q10" s="463"/>
      <c r="R10" s="463"/>
      <c r="S10" s="463"/>
      <c r="T10" s="463"/>
    </row>
    <row r="11" spans="1:20" s="459" customFormat="1" ht="11.25">
      <c r="A11" s="460"/>
      <c r="B11" s="441"/>
      <c r="C11" s="454" t="s">
        <v>2671</v>
      </c>
      <c r="D11" s="162" t="s">
        <v>2672</v>
      </c>
      <c r="E11" s="441"/>
      <c r="F11" s="461"/>
      <c r="G11" s="456"/>
      <c r="H11" s="456"/>
      <c r="I11" s="462">
        <f>ROUND(+'SP Min'!D43,0)</f>
        <v>0</v>
      </c>
      <c r="J11" s="462">
        <v>0</v>
      </c>
      <c r="K11" s="452">
        <f t="shared" si="0"/>
        <v>0</v>
      </c>
      <c r="L11" s="458" t="str">
        <f t="shared" si="1"/>
        <v xml:space="preserve">-    </v>
      </c>
      <c r="M11" s="453"/>
      <c r="Q11" s="463"/>
      <c r="R11" s="463"/>
      <c r="S11" s="463"/>
      <c r="T11" s="463"/>
    </row>
    <row r="12" spans="1:20" s="459" customFormat="1" ht="11.25">
      <c r="A12" s="460"/>
      <c r="B12" s="441"/>
      <c r="C12" s="454" t="s">
        <v>2673</v>
      </c>
      <c r="D12" s="162" t="s">
        <v>2674</v>
      </c>
      <c r="E12" s="441"/>
      <c r="F12" s="461"/>
      <c r="G12" s="456"/>
      <c r="H12" s="456"/>
      <c r="I12" s="462">
        <f>ROUND(+'SP Min'!D44-'SP Min'!D57,0)</f>
        <v>2340</v>
      </c>
      <c r="J12" s="462">
        <v>6068</v>
      </c>
      <c r="K12" s="452">
        <f t="shared" si="0"/>
        <v>-3728</v>
      </c>
      <c r="L12" s="458">
        <f t="shared" si="1"/>
        <v>-0.61437046802900463</v>
      </c>
      <c r="M12" s="453"/>
      <c r="Q12" s="463"/>
      <c r="R12" s="463"/>
      <c r="S12" s="463"/>
      <c r="T12" s="463"/>
    </row>
    <row r="13" spans="1:20" s="448" customFormat="1" ht="11.25">
      <c r="A13" s="449"/>
      <c r="B13" s="441" t="s">
        <v>2675</v>
      </c>
      <c r="C13" s="464" t="s">
        <v>2676</v>
      </c>
      <c r="D13" s="441"/>
      <c r="E13" s="441"/>
      <c r="F13" s="442"/>
      <c r="G13" s="443"/>
      <c r="H13" s="443"/>
      <c r="I13" s="451">
        <f>I14+I17+SUM(I20:I26)</f>
        <v>441008</v>
      </c>
      <c r="J13" s="451">
        <v>415631</v>
      </c>
      <c r="K13" s="452">
        <f t="shared" si="0"/>
        <v>25377</v>
      </c>
      <c r="L13" s="447">
        <f t="shared" si="1"/>
        <v>6.1056562190981906E-2</v>
      </c>
      <c r="M13" s="453"/>
      <c r="Q13" s="465"/>
      <c r="R13" s="465"/>
      <c r="S13" s="465"/>
      <c r="T13" s="465"/>
    </row>
    <row r="14" spans="1:20" s="459" customFormat="1" ht="11.25">
      <c r="A14" s="439"/>
      <c r="B14" s="441"/>
      <c r="C14" s="454" t="s">
        <v>86</v>
      </c>
      <c r="D14" s="162" t="s">
        <v>2677</v>
      </c>
      <c r="E14" s="454"/>
      <c r="F14" s="466"/>
      <c r="G14" s="456"/>
      <c r="H14" s="456"/>
      <c r="I14" s="462">
        <f>SUM(I15:I16)</f>
        <v>0</v>
      </c>
      <c r="J14" s="462">
        <v>0</v>
      </c>
      <c r="K14" s="452">
        <f t="shared" si="0"/>
        <v>0</v>
      </c>
      <c r="L14" s="447" t="str">
        <f t="shared" si="1"/>
        <v xml:space="preserve">-    </v>
      </c>
      <c r="M14" s="453"/>
      <c r="Q14" s="463"/>
      <c r="R14" s="463"/>
      <c r="S14" s="463"/>
      <c r="T14" s="463"/>
    </row>
    <row r="15" spans="1:20" s="473" customFormat="1" ht="11.25">
      <c r="A15" s="467"/>
      <c r="B15" s="468"/>
      <c r="C15" s="469"/>
      <c r="D15" s="469" t="s">
        <v>2678</v>
      </c>
      <c r="E15" s="470" t="s">
        <v>2679</v>
      </c>
      <c r="F15" s="471"/>
      <c r="G15" s="472"/>
      <c r="H15" s="472"/>
      <c r="I15" s="462">
        <f>ROUND(+'SP Min'!D60+'SP Att Alim'!F100,0)</f>
        <v>0</v>
      </c>
      <c r="J15" s="462">
        <v>0</v>
      </c>
      <c r="K15" s="452">
        <f t="shared" si="0"/>
        <v>0</v>
      </c>
      <c r="L15" s="447" t="str">
        <f t="shared" si="1"/>
        <v xml:space="preserve">-    </v>
      </c>
      <c r="M15" s="453"/>
      <c r="Q15" s="474"/>
      <c r="R15" s="474"/>
      <c r="S15" s="474"/>
      <c r="T15" s="474"/>
    </row>
    <row r="16" spans="1:20" s="473" customFormat="1" ht="11.25">
      <c r="A16" s="467"/>
      <c r="B16" s="468"/>
      <c r="C16" s="469"/>
      <c r="D16" s="469" t="s">
        <v>2680</v>
      </c>
      <c r="E16" s="475" t="s">
        <v>2681</v>
      </c>
      <c r="F16" s="466"/>
      <c r="G16" s="472"/>
      <c r="H16" s="472"/>
      <c r="I16" s="462">
        <f>ROUND(+'SP Min'!D61+'SP Att Alim'!F104,0)</f>
        <v>0</v>
      </c>
      <c r="J16" s="462">
        <v>0</v>
      </c>
      <c r="K16" s="452">
        <f t="shared" si="0"/>
        <v>0</v>
      </c>
      <c r="L16" s="447" t="str">
        <f t="shared" si="1"/>
        <v xml:space="preserve">-    </v>
      </c>
      <c r="M16" s="453"/>
      <c r="Q16" s="474"/>
      <c r="R16" s="474"/>
      <c r="S16" s="474"/>
      <c r="T16" s="474"/>
    </row>
    <row r="17" spans="1:20" s="459" customFormat="1" ht="11.25">
      <c r="A17" s="439"/>
      <c r="B17" s="441"/>
      <c r="C17" s="454" t="s">
        <v>88</v>
      </c>
      <c r="D17" s="168" t="s">
        <v>2682</v>
      </c>
      <c r="E17" s="441"/>
      <c r="F17" s="461"/>
      <c r="G17" s="456"/>
      <c r="H17" s="456"/>
      <c r="I17" s="462">
        <f>SUM(I18:I19)</f>
        <v>0</v>
      </c>
      <c r="J17" s="462">
        <v>0</v>
      </c>
      <c r="K17" s="452">
        <f t="shared" si="0"/>
        <v>0</v>
      </c>
      <c r="L17" s="458" t="str">
        <f t="shared" si="1"/>
        <v xml:space="preserve">-    </v>
      </c>
      <c r="M17" s="453"/>
      <c r="Q17" s="463"/>
      <c r="R17" s="463"/>
      <c r="S17" s="463"/>
      <c r="T17" s="463"/>
    </row>
    <row r="18" spans="1:20" s="459" customFormat="1" ht="11.25">
      <c r="A18" s="439"/>
      <c r="B18" s="441"/>
      <c r="C18" s="454"/>
      <c r="D18" s="469" t="s">
        <v>2678</v>
      </c>
      <c r="E18" s="470" t="s">
        <v>2683</v>
      </c>
      <c r="F18" s="466"/>
      <c r="G18" s="456"/>
      <c r="H18" s="456"/>
      <c r="I18" s="462">
        <f>ROUND('SP Min'!D63+'SP Att Alim'!F103,0)</f>
        <v>0</v>
      </c>
      <c r="J18" s="462">
        <v>0</v>
      </c>
      <c r="K18" s="452">
        <f t="shared" si="0"/>
        <v>0</v>
      </c>
      <c r="L18" s="458" t="str">
        <f t="shared" si="1"/>
        <v xml:space="preserve">-    </v>
      </c>
      <c r="M18" s="453"/>
      <c r="Q18" s="463"/>
      <c r="R18" s="463"/>
      <c r="S18" s="463"/>
      <c r="T18" s="463"/>
    </row>
    <row r="19" spans="1:20" s="459" customFormat="1" ht="11.25">
      <c r="A19" s="439"/>
      <c r="B19" s="441"/>
      <c r="C19" s="454"/>
      <c r="D19" s="469" t="s">
        <v>2680</v>
      </c>
      <c r="E19" s="470" t="s">
        <v>2684</v>
      </c>
      <c r="F19" s="162"/>
      <c r="G19" s="456"/>
      <c r="H19" s="456"/>
      <c r="I19" s="462">
        <f>+ROUND('SP Min'!D66+'SP Att Alim'!F101,0)</f>
        <v>0</v>
      </c>
      <c r="J19" s="462">
        <v>0</v>
      </c>
      <c r="K19" s="452">
        <f t="shared" si="0"/>
        <v>0</v>
      </c>
      <c r="L19" s="458" t="str">
        <f t="shared" si="1"/>
        <v xml:space="preserve">-    </v>
      </c>
      <c r="M19" s="453"/>
      <c r="Q19" s="463"/>
      <c r="R19" s="463"/>
      <c r="S19" s="463"/>
      <c r="T19" s="463"/>
    </row>
    <row r="20" spans="1:20" s="459" customFormat="1" ht="11.25">
      <c r="A20" s="439"/>
      <c r="B20" s="441"/>
      <c r="C20" s="454" t="s">
        <v>116</v>
      </c>
      <c r="D20" s="168" t="s">
        <v>2685</v>
      </c>
      <c r="E20" s="441"/>
      <c r="F20" s="162"/>
      <c r="G20" s="456"/>
      <c r="H20" s="456"/>
      <c r="I20" s="462">
        <f>+ROUND('SP Min'!D69+'SP Att Alim'!F106,0)</f>
        <v>80062</v>
      </c>
      <c r="J20" s="462">
        <v>102937</v>
      </c>
      <c r="K20" s="452">
        <f t="shared" si="0"/>
        <v>-22875</v>
      </c>
      <c r="L20" s="458">
        <f t="shared" si="1"/>
        <v>-0.22222330163109474</v>
      </c>
      <c r="M20" s="453"/>
      <c r="Q20" s="463"/>
      <c r="R20" s="463"/>
      <c r="S20" s="463"/>
      <c r="T20" s="463"/>
    </row>
    <row r="21" spans="1:20" s="459" customFormat="1" ht="11.25">
      <c r="A21" s="439"/>
      <c r="B21" s="441"/>
      <c r="C21" s="454" t="s">
        <v>2671</v>
      </c>
      <c r="D21" s="476" t="s">
        <v>2686</v>
      </c>
      <c r="E21" s="441"/>
      <c r="F21" s="461"/>
      <c r="G21" s="456"/>
      <c r="H21" s="456"/>
      <c r="I21" s="462">
        <f>+ROUND('SP Min'!D72+'SP Att Alim'!F108,0)</f>
        <v>20789</v>
      </c>
      <c r="J21" s="462">
        <v>44457</v>
      </c>
      <c r="K21" s="452">
        <f t="shared" si="0"/>
        <v>-23668</v>
      </c>
      <c r="L21" s="458">
        <f t="shared" si="1"/>
        <v>-0.53237960276221963</v>
      </c>
      <c r="M21" s="453"/>
      <c r="Q21" s="463"/>
      <c r="R21" s="463"/>
      <c r="S21" s="463"/>
      <c r="T21" s="463"/>
    </row>
    <row r="22" spans="1:20" s="459" customFormat="1" ht="11.25">
      <c r="A22" s="439"/>
      <c r="B22" s="441"/>
      <c r="C22" s="454" t="s">
        <v>2673</v>
      </c>
      <c r="D22" s="168" t="s">
        <v>2687</v>
      </c>
      <c r="E22" s="441"/>
      <c r="F22" s="455"/>
      <c r="G22" s="456"/>
      <c r="H22" s="456"/>
      <c r="I22" s="462">
        <f>+ROUND('SP Min'!D75+'SP Att Alim'!F110,0)</f>
        <v>83577</v>
      </c>
      <c r="J22" s="462">
        <v>102947</v>
      </c>
      <c r="K22" s="452">
        <f t="shared" si="0"/>
        <v>-19370</v>
      </c>
      <c r="L22" s="458">
        <f t="shared" si="1"/>
        <v>-0.18815507008460663</v>
      </c>
      <c r="M22" s="453"/>
      <c r="Q22" s="463"/>
      <c r="R22" s="463"/>
      <c r="S22" s="463"/>
      <c r="T22" s="463"/>
    </row>
    <row r="23" spans="1:20" s="459" customFormat="1" ht="11.25">
      <c r="A23" s="439"/>
      <c r="B23" s="441"/>
      <c r="C23" s="454" t="s">
        <v>2688</v>
      </c>
      <c r="D23" s="168" t="s">
        <v>2689</v>
      </c>
      <c r="E23" s="441"/>
      <c r="F23" s="162"/>
      <c r="G23" s="456"/>
      <c r="H23" s="456"/>
      <c r="I23" s="462">
        <f>+ROUND('SP Min'!D78+'SP Att Alim'!F112,0)</f>
        <v>0</v>
      </c>
      <c r="J23" s="462">
        <v>1007</v>
      </c>
      <c r="K23" s="452">
        <f t="shared" si="0"/>
        <v>-1007</v>
      </c>
      <c r="L23" s="458">
        <f t="shared" si="1"/>
        <v>-1</v>
      </c>
      <c r="M23" s="453"/>
      <c r="Q23" s="463"/>
      <c r="R23" s="463"/>
      <c r="S23" s="463"/>
      <c r="T23" s="463"/>
    </row>
    <row r="24" spans="1:20" s="459" customFormat="1" ht="11.25">
      <c r="A24" s="439"/>
      <c r="B24" s="441"/>
      <c r="C24" s="454" t="s">
        <v>2690</v>
      </c>
      <c r="D24" s="168" t="s">
        <v>2691</v>
      </c>
      <c r="E24" s="441"/>
      <c r="F24" s="162"/>
      <c r="G24" s="456"/>
      <c r="H24" s="456"/>
      <c r="I24" s="462">
        <f>+ROUND('SP Min'!D81+'SP Att Alim'!F114,0)</f>
        <v>0</v>
      </c>
      <c r="J24" s="462">
        <v>0</v>
      </c>
      <c r="K24" s="452">
        <f t="shared" si="0"/>
        <v>0</v>
      </c>
      <c r="L24" s="458" t="str">
        <f t="shared" si="1"/>
        <v xml:space="preserve">-    </v>
      </c>
      <c r="M24" s="453"/>
      <c r="Q24" s="463"/>
      <c r="R24" s="463"/>
      <c r="S24" s="463"/>
      <c r="T24" s="463"/>
    </row>
    <row r="25" spans="1:20" s="459" customFormat="1" ht="11.25">
      <c r="A25" s="439"/>
      <c r="B25" s="441"/>
      <c r="C25" s="454" t="s">
        <v>2692</v>
      </c>
      <c r="D25" s="162" t="s">
        <v>2693</v>
      </c>
      <c r="E25" s="441"/>
      <c r="F25" s="461"/>
      <c r="G25" s="456"/>
      <c r="H25" s="456"/>
      <c r="I25" s="462">
        <f>+ROUND('SP Min'!D82+'SP Att Alim'!F116,0)</f>
        <v>256580</v>
      </c>
      <c r="J25" s="462">
        <v>164283</v>
      </c>
      <c r="K25" s="452">
        <f t="shared" si="0"/>
        <v>92297</v>
      </c>
      <c r="L25" s="458">
        <f t="shared" si="1"/>
        <v>0.56181710828265863</v>
      </c>
      <c r="M25" s="453"/>
      <c r="Q25" s="463"/>
      <c r="R25" s="463"/>
      <c r="S25" s="463"/>
      <c r="T25" s="463"/>
    </row>
    <row r="26" spans="1:20" s="459" customFormat="1" ht="11.25">
      <c r="A26" s="439"/>
      <c r="B26" s="441"/>
      <c r="C26" s="454" t="s">
        <v>2694</v>
      </c>
      <c r="D26" s="162" t="s">
        <v>2695</v>
      </c>
      <c r="E26" s="441"/>
      <c r="F26" s="455"/>
      <c r="G26" s="456"/>
      <c r="H26" s="456"/>
      <c r="I26" s="462">
        <f>+ROUND('SP Min'!D85,0)</f>
        <v>0</v>
      </c>
      <c r="J26" s="462">
        <v>0</v>
      </c>
      <c r="K26" s="452">
        <f t="shared" si="0"/>
        <v>0</v>
      </c>
      <c r="L26" s="458" t="str">
        <f t="shared" si="1"/>
        <v xml:space="preserve">-    </v>
      </c>
      <c r="M26" s="453"/>
      <c r="Q26" s="463"/>
      <c r="R26" s="463"/>
      <c r="S26" s="463"/>
      <c r="T26" s="463"/>
    </row>
    <row r="27" spans="1:20" s="459" customFormat="1" ht="11.25">
      <c r="A27" s="439"/>
      <c r="B27" s="441"/>
      <c r="C27" s="454"/>
      <c r="D27" s="441"/>
      <c r="E27" s="441"/>
      <c r="F27" s="168"/>
      <c r="G27" s="477" t="s">
        <v>2696</v>
      </c>
      <c r="H27" s="477" t="s">
        <v>2697</v>
      </c>
      <c r="I27" s="462"/>
      <c r="J27" s="462"/>
      <c r="K27" s="452">
        <f t="shared" si="0"/>
        <v>0</v>
      </c>
      <c r="L27" s="458" t="str">
        <f t="shared" si="1"/>
        <v xml:space="preserve">-    </v>
      </c>
      <c r="M27" s="453"/>
      <c r="Q27" s="463"/>
      <c r="R27" s="463"/>
      <c r="S27" s="463"/>
      <c r="T27" s="463"/>
    </row>
    <row r="28" spans="1:20" s="448" customFormat="1" ht="40.5" customHeight="1">
      <c r="A28" s="449"/>
      <c r="B28" s="441" t="s">
        <v>2698</v>
      </c>
      <c r="C28" s="857" t="s">
        <v>2699</v>
      </c>
      <c r="D28" s="857"/>
      <c r="E28" s="857"/>
      <c r="F28" s="858"/>
      <c r="G28" s="451">
        <f t="shared" ref="G28:H28" si="2">G29+G34</f>
        <v>0</v>
      </c>
      <c r="H28" s="451">
        <f t="shared" si="2"/>
        <v>0</v>
      </c>
      <c r="I28" s="451">
        <f>I29+I34</f>
        <v>0</v>
      </c>
      <c r="J28" s="451">
        <v>0</v>
      </c>
      <c r="K28" s="452">
        <f t="shared" si="0"/>
        <v>0</v>
      </c>
      <c r="L28" s="447" t="str">
        <f t="shared" si="1"/>
        <v xml:space="preserve">-    </v>
      </c>
      <c r="M28" s="453"/>
      <c r="Q28" s="465"/>
      <c r="R28" s="465"/>
      <c r="S28" s="465"/>
      <c r="T28" s="465"/>
    </row>
    <row r="29" spans="1:20" s="459" customFormat="1" ht="11.25">
      <c r="A29" s="460"/>
      <c r="B29" s="441"/>
      <c r="C29" s="454" t="s">
        <v>86</v>
      </c>
      <c r="D29" s="478" t="s">
        <v>2700</v>
      </c>
      <c r="E29" s="461"/>
      <c r="F29" s="461"/>
      <c r="G29" s="462">
        <f t="shared" ref="G29:H29" si="3">SUM(G30:G33)</f>
        <v>0</v>
      </c>
      <c r="H29" s="462">
        <f t="shared" si="3"/>
        <v>0</v>
      </c>
      <c r="I29" s="462">
        <f>SUM(I30:I33)</f>
        <v>0</v>
      </c>
      <c r="J29" s="462">
        <v>0</v>
      </c>
      <c r="K29" s="452">
        <f t="shared" si="0"/>
        <v>0</v>
      </c>
      <c r="L29" s="458" t="str">
        <f t="shared" si="1"/>
        <v xml:space="preserve">-    </v>
      </c>
      <c r="M29" s="453"/>
      <c r="Q29" s="463"/>
      <c r="R29" s="463"/>
      <c r="S29" s="463"/>
      <c r="T29" s="463"/>
    </row>
    <row r="30" spans="1:20" s="459" customFormat="1" ht="11.25">
      <c r="A30" s="439"/>
      <c r="B30" s="441"/>
      <c r="C30" s="441"/>
      <c r="D30" s="469" t="s">
        <v>2678</v>
      </c>
      <c r="E30" s="466" t="s">
        <v>2701</v>
      </c>
      <c r="F30" s="455"/>
      <c r="G30" s="479"/>
      <c r="H30" s="479"/>
      <c r="I30" s="462">
        <f>+ROUND('SP Min'!D97,0)</f>
        <v>0</v>
      </c>
      <c r="J30" s="462">
        <v>0</v>
      </c>
      <c r="K30" s="452">
        <f t="shared" si="0"/>
        <v>0</v>
      </c>
      <c r="L30" s="458" t="str">
        <f t="shared" si="1"/>
        <v xml:space="preserve">-    </v>
      </c>
      <c r="M30" s="453"/>
      <c r="Q30" s="463"/>
      <c r="R30" s="463"/>
      <c r="S30" s="463"/>
      <c r="T30" s="463"/>
    </row>
    <row r="31" spans="1:20" s="459" customFormat="1" ht="11.25">
      <c r="A31" s="439"/>
      <c r="B31" s="441"/>
      <c r="C31" s="441"/>
      <c r="D31" s="469" t="s">
        <v>2680</v>
      </c>
      <c r="E31" s="466" t="s">
        <v>2702</v>
      </c>
      <c r="F31" s="466"/>
      <c r="G31" s="479"/>
      <c r="H31" s="479"/>
      <c r="I31" s="462">
        <f>+ROUND('SP Min'!D98,0)</f>
        <v>0</v>
      </c>
      <c r="J31" s="462">
        <v>0</v>
      </c>
      <c r="K31" s="452">
        <f t="shared" si="0"/>
        <v>0</v>
      </c>
      <c r="L31" s="458" t="str">
        <f t="shared" si="1"/>
        <v xml:space="preserve">-    </v>
      </c>
      <c r="M31" s="453"/>
      <c r="Q31" s="463"/>
      <c r="R31" s="463"/>
      <c r="S31" s="463"/>
      <c r="T31" s="463"/>
    </row>
    <row r="32" spans="1:20" s="459" customFormat="1" ht="11.25">
      <c r="A32" s="439"/>
      <c r="B32" s="441"/>
      <c r="C32" s="454"/>
      <c r="D32" s="469" t="s">
        <v>2703</v>
      </c>
      <c r="E32" s="480" t="s">
        <v>2704</v>
      </c>
      <c r="F32" s="455"/>
      <c r="G32" s="479"/>
      <c r="H32" s="479"/>
      <c r="I32" s="462">
        <f>+ROUND('SP Min'!D99,0)</f>
        <v>0</v>
      </c>
      <c r="J32" s="462">
        <v>0</v>
      </c>
      <c r="K32" s="452">
        <f t="shared" si="0"/>
        <v>0</v>
      </c>
      <c r="L32" s="458" t="str">
        <f t="shared" si="1"/>
        <v xml:space="preserve">-    </v>
      </c>
      <c r="M32" s="453"/>
      <c r="Q32" s="463"/>
      <c r="R32" s="463"/>
      <c r="S32" s="463"/>
      <c r="T32" s="463"/>
    </row>
    <row r="33" spans="1:20" s="459" customFormat="1" ht="11.25">
      <c r="A33" s="439"/>
      <c r="B33" s="441"/>
      <c r="C33" s="454"/>
      <c r="D33" s="469" t="s">
        <v>2705</v>
      </c>
      <c r="E33" s="480" t="s">
        <v>2706</v>
      </c>
      <c r="F33" s="478"/>
      <c r="G33" s="479"/>
      <c r="H33" s="481"/>
      <c r="I33" s="462">
        <f>+ROUND('SP Min'!D100,0)</f>
        <v>0</v>
      </c>
      <c r="J33" s="462">
        <v>0</v>
      </c>
      <c r="K33" s="452">
        <f t="shared" si="0"/>
        <v>0</v>
      </c>
      <c r="L33" s="458" t="str">
        <f t="shared" si="1"/>
        <v xml:space="preserve">-    </v>
      </c>
      <c r="M33" s="453"/>
      <c r="Q33" s="463"/>
      <c r="R33" s="463"/>
      <c r="S33" s="463"/>
      <c r="T33" s="463"/>
    </row>
    <row r="34" spans="1:20" s="459" customFormat="1" ht="11.25">
      <c r="A34" s="439"/>
      <c r="B34" s="441"/>
      <c r="C34" s="454" t="s">
        <v>88</v>
      </c>
      <c r="D34" s="168" t="s">
        <v>2707</v>
      </c>
      <c r="E34" s="454"/>
      <c r="F34" s="478"/>
      <c r="G34" s="482"/>
      <c r="H34" s="456"/>
      <c r="I34" s="462">
        <f>SUM(I35:I36)</f>
        <v>0</v>
      </c>
      <c r="J34" s="462">
        <v>0</v>
      </c>
      <c r="K34" s="452">
        <f t="shared" si="0"/>
        <v>0</v>
      </c>
      <c r="L34" s="458" t="str">
        <f t="shared" si="1"/>
        <v xml:space="preserve">-    </v>
      </c>
      <c r="M34" s="453"/>
      <c r="Q34" s="463"/>
      <c r="R34" s="463"/>
      <c r="S34" s="463"/>
      <c r="T34" s="463"/>
    </row>
    <row r="35" spans="1:20" s="459" customFormat="1" ht="11.25">
      <c r="A35" s="439"/>
      <c r="B35" s="441"/>
      <c r="C35" s="454"/>
      <c r="D35" s="469" t="s">
        <v>2678</v>
      </c>
      <c r="E35" s="470" t="s">
        <v>2708</v>
      </c>
      <c r="F35" s="461"/>
      <c r="G35" s="456"/>
      <c r="H35" s="456"/>
      <c r="I35" s="462">
        <f>+ROUND('SP Min'!D102,0)</f>
        <v>0</v>
      </c>
      <c r="J35" s="462">
        <v>0</v>
      </c>
      <c r="K35" s="452">
        <f t="shared" si="0"/>
        <v>0</v>
      </c>
      <c r="L35" s="458" t="str">
        <f t="shared" si="1"/>
        <v xml:space="preserve">-    </v>
      </c>
      <c r="M35" s="453"/>
      <c r="Q35" s="463"/>
      <c r="R35" s="463"/>
      <c r="S35" s="463"/>
      <c r="T35" s="463"/>
    </row>
    <row r="36" spans="1:20" s="459" customFormat="1" ht="11.25">
      <c r="A36" s="439"/>
      <c r="B36" s="441"/>
      <c r="C36" s="454"/>
      <c r="D36" s="469" t="s">
        <v>2680</v>
      </c>
      <c r="E36" s="470" t="s">
        <v>2709</v>
      </c>
      <c r="F36" s="162"/>
      <c r="G36" s="483"/>
      <c r="H36" s="456"/>
      <c r="I36" s="481">
        <f>+ROUND('SP Min'!D103,0)</f>
        <v>0</v>
      </c>
      <c r="J36" s="481">
        <f>+ROUND('SP Min'!E103,0)</f>
        <v>0</v>
      </c>
      <c r="K36" s="452">
        <f t="shared" si="0"/>
        <v>0</v>
      </c>
      <c r="L36" s="458" t="str">
        <f t="shared" si="1"/>
        <v xml:space="preserve">-    </v>
      </c>
      <c r="M36" s="453"/>
      <c r="Q36" s="463"/>
      <c r="R36" s="463"/>
      <c r="S36" s="463"/>
      <c r="T36" s="463"/>
    </row>
    <row r="37" spans="1:20" s="448" customFormat="1" ht="11.25">
      <c r="A37" s="859" t="s">
        <v>2710</v>
      </c>
      <c r="B37" s="860"/>
      <c r="C37" s="860"/>
      <c r="D37" s="860"/>
      <c r="E37" s="860"/>
      <c r="F37" s="860"/>
      <c r="G37" s="861"/>
      <c r="H37" s="860"/>
      <c r="I37" s="484">
        <f>I7+I13+I28</f>
        <v>443348</v>
      </c>
      <c r="J37" s="485">
        <f>J7+J13+J28</f>
        <v>421699</v>
      </c>
      <c r="K37" s="486">
        <f t="shared" si="0"/>
        <v>21649</v>
      </c>
      <c r="L37" s="145">
        <f>IF(J37=0,"-    ",K37/J37)</f>
        <v>5.1337565419884802E-2</v>
      </c>
      <c r="M37" s="453"/>
      <c r="Q37" s="465"/>
      <c r="R37" s="465"/>
      <c r="S37" s="465"/>
      <c r="T37" s="465"/>
    </row>
    <row r="38" spans="1:20" s="448" customFormat="1" ht="11.25">
      <c r="A38" s="439"/>
      <c r="B38" s="441"/>
      <c r="C38" s="441"/>
      <c r="D38" s="441"/>
      <c r="E38" s="441"/>
      <c r="F38" s="450"/>
      <c r="G38" s="443"/>
      <c r="H38" s="443"/>
      <c r="I38" s="487"/>
      <c r="J38" s="487"/>
      <c r="K38" s="488"/>
      <c r="L38" s="489"/>
      <c r="M38" s="453"/>
      <c r="Q38" s="465"/>
      <c r="R38" s="465"/>
      <c r="S38" s="465"/>
      <c r="T38" s="465"/>
    </row>
    <row r="39" spans="1:20" s="448" customFormat="1" ht="11.25">
      <c r="A39" s="490" t="s">
        <v>33</v>
      </c>
      <c r="B39" s="491" t="s">
        <v>2711</v>
      </c>
      <c r="C39" s="492"/>
      <c r="D39" s="492"/>
      <c r="E39" s="492"/>
      <c r="F39" s="442"/>
      <c r="G39" s="443"/>
      <c r="H39" s="443"/>
      <c r="I39" s="451"/>
      <c r="J39" s="445"/>
      <c r="K39" s="446"/>
      <c r="L39" s="447"/>
      <c r="M39" s="453"/>
      <c r="Q39" s="465"/>
      <c r="R39" s="465"/>
      <c r="S39" s="465"/>
      <c r="T39" s="465"/>
    </row>
    <row r="40" spans="1:20" s="448" customFormat="1" ht="11.25">
      <c r="A40" s="490"/>
      <c r="B40" s="492" t="s">
        <v>2666</v>
      </c>
      <c r="C40" s="493" t="s">
        <v>2712</v>
      </c>
      <c r="D40" s="492"/>
      <c r="E40" s="492"/>
      <c r="F40" s="450"/>
      <c r="G40" s="443"/>
      <c r="H40" s="443"/>
      <c r="I40" s="451">
        <f>SUM(I41:I44)</f>
        <v>65979148</v>
      </c>
      <c r="J40" s="451">
        <f>SUM(J41:J44)</f>
        <v>65966509</v>
      </c>
      <c r="K40" s="452">
        <f>+I40-J40</f>
        <v>12639</v>
      </c>
      <c r="L40" s="447">
        <f t="shared" ref="L40:L98" si="4">IF(J40=0,"-    ",K40/J40)</f>
        <v>1.915972239792165E-4</v>
      </c>
      <c r="M40" s="453"/>
      <c r="Q40" s="465"/>
      <c r="R40" s="465"/>
      <c r="S40" s="465"/>
      <c r="T40" s="465"/>
    </row>
    <row r="41" spans="1:20" s="459" customFormat="1" ht="11.25">
      <c r="A41" s="490"/>
      <c r="B41" s="492"/>
      <c r="C41" s="494" t="s">
        <v>86</v>
      </c>
      <c r="D41" s="494" t="s">
        <v>2713</v>
      </c>
      <c r="E41" s="492"/>
      <c r="F41" s="461"/>
      <c r="G41" s="456"/>
      <c r="H41" s="456"/>
      <c r="I41" s="462">
        <f>+ROUND('SP Min'!D110-'SP Min'!D119,0)</f>
        <v>64781030</v>
      </c>
      <c r="J41" s="462">
        <v>64595306</v>
      </c>
      <c r="K41" s="452">
        <f t="shared" ref="K41:K90" si="5">+I41-J41</f>
        <v>185724</v>
      </c>
      <c r="L41" s="458">
        <f t="shared" si="4"/>
        <v>2.8751934389783678E-3</v>
      </c>
      <c r="M41" s="453"/>
      <c r="Q41" s="463"/>
      <c r="R41" s="463"/>
      <c r="S41" s="463"/>
      <c r="T41" s="463"/>
    </row>
    <row r="42" spans="1:20" s="459" customFormat="1" ht="11.25">
      <c r="A42" s="490"/>
      <c r="B42" s="492"/>
      <c r="C42" s="494" t="s">
        <v>88</v>
      </c>
      <c r="D42" s="494" t="s">
        <v>2714</v>
      </c>
      <c r="E42" s="492"/>
      <c r="F42" s="162"/>
      <c r="G42" s="456"/>
      <c r="H42" s="456"/>
      <c r="I42" s="462">
        <f>+ROUND('SP Min'!D120-'SP Min'!D127,0)</f>
        <v>1198118</v>
      </c>
      <c r="J42" s="462">
        <v>1371203</v>
      </c>
      <c r="K42" s="452">
        <f t="shared" si="5"/>
        <v>-173085</v>
      </c>
      <c r="L42" s="458">
        <f t="shared" si="4"/>
        <v>-0.12622857447073846</v>
      </c>
      <c r="M42" s="453"/>
      <c r="Q42" s="463"/>
      <c r="R42" s="463"/>
      <c r="S42" s="463"/>
      <c r="T42" s="463"/>
    </row>
    <row r="43" spans="1:20" s="459" customFormat="1" ht="11.25">
      <c r="A43" s="490"/>
      <c r="B43" s="492"/>
      <c r="C43" s="494" t="s">
        <v>116</v>
      </c>
      <c r="D43" s="494" t="s">
        <v>2715</v>
      </c>
      <c r="E43" s="492"/>
      <c r="F43" s="495"/>
      <c r="G43" s="456"/>
      <c r="H43" s="456"/>
      <c r="I43" s="462">
        <f>+ROUND('SP Min'!D119,0)</f>
        <v>0</v>
      </c>
      <c r="J43" s="462">
        <v>0</v>
      </c>
      <c r="K43" s="452">
        <f t="shared" si="5"/>
        <v>0</v>
      </c>
      <c r="L43" s="458" t="str">
        <f t="shared" si="4"/>
        <v xml:space="preserve">-    </v>
      </c>
      <c r="M43" s="453"/>
      <c r="Q43" s="463"/>
      <c r="R43" s="463"/>
      <c r="S43" s="463"/>
      <c r="T43" s="463"/>
    </row>
    <row r="44" spans="1:20" s="459" customFormat="1" ht="11.25">
      <c r="A44" s="490"/>
      <c r="B44" s="492"/>
      <c r="C44" s="494" t="s">
        <v>2671</v>
      </c>
      <c r="D44" s="494" t="s">
        <v>2716</v>
      </c>
      <c r="E44" s="492"/>
      <c r="F44" s="162"/>
      <c r="G44" s="456"/>
      <c r="H44" s="456"/>
      <c r="I44" s="462">
        <f>+ROUND('SP Min'!D127,0)</f>
        <v>0</v>
      </c>
      <c r="J44" s="462">
        <v>0</v>
      </c>
      <c r="K44" s="452">
        <f t="shared" si="5"/>
        <v>0</v>
      </c>
      <c r="L44" s="458" t="str">
        <f t="shared" si="4"/>
        <v xml:space="preserve">-    </v>
      </c>
      <c r="M44" s="453"/>
      <c r="Q44" s="463"/>
      <c r="R44" s="463"/>
      <c r="S44" s="463"/>
      <c r="T44" s="463"/>
    </row>
    <row r="45" spans="1:20" s="459" customFormat="1" ht="11.25">
      <c r="A45" s="490"/>
      <c r="B45" s="492"/>
      <c r="C45" s="492"/>
      <c r="D45" s="492"/>
      <c r="E45" s="492"/>
      <c r="F45" s="162"/>
      <c r="G45" s="477" t="s">
        <v>2696</v>
      </c>
      <c r="H45" s="477" t="s">
        <v>2697</v>
      </c>
      <c r="I45" s="462"/>
      <c r="J45" s="462"/>
      <c r="K45" s="452">
        <f t="shared" si="5"/>
        <v>0</v>
      </c>
      <c r="L45" s="458" t="str">
        <f t="shared" si="4"/>
        <v xml:space="preserve">-    </v>
      </c>
      <c r="M45" s="453"/>
      <c r="Q45" s="463"/>
      <c r="R45" s="463"/>
      <c r="S45" s="463"/>
      <c r="T45" s="463"/>
    </row>
    <row r="46" spans="1:20" s="448" customFormat="1" ht="25.5" customHeight="1">
      <c r="A46" s="449"/>
      <c r="B46" s="441" t="s">
        <v>2675</v>
      </c>
      <c r="C46" s="857" t="s">
        <v>2717</v>
      </c>
      <c r="D46" s="857"/>
      <c r="E46" s="857"/>
      <c r="F46" s="858"/>
      <c r="G46" s="451">
        <f>G47+G58+G71+G72+G75+G76+G77</f>
        <v>0</v>
      </c>
      <c r="H46" s="451">
        <f>H47+H58+H71+H72+H75+H76+H77</f>
        <v>0</v>
      </c>
      <c r="I46" s="451">
        <f>I47+I58+I71+I72+I75+I76+I77</f>
        <v>137636075</v>
      </c>
      <c r="J46" s="451">
        <v>148663910</v>
      </c>
      <c r="K46" s="452">
        <f t="shared" si="5"/>
        <v>-11027835</v>
      </c>
      <c r="L46" s="447">
        <f t="shared" si="4"/>
        <v>-7.4179637815257243E-2</v>
      </c>
      <c r="M46" s="453"/>
      <c r="Q46" s="465"/>
      <c r="R46" s="465"/>
      <c r="S46" s="465"/>
      <c r="T46" s="465"/>
    </row>
    <row r="47" spans="1:20" s="459" customFormat="1" ht="11.25">
      <c r="A47" s="460"/>
      <c r="B47" s="492"/>
      <c r="C47" s="494" t="s">
        <v>86</v>
      </c>
      <c r="D47" s="494" t="s">
        <v>2718</v>
      </c>
      <c r="E47" s="492"/>
      <c r="F47" s="496"/>
      <c r="G47" s="497"/>
      <c r="H47" s="497"/>
      <c r="I47" s="462">
        <f>I48+I51+I52+I57</f>
        <v>0</v>
      </c>
      <c r="J47" s="462">
        <v>0</v>
      </c>
      <c r="K47" s="452">
        <f t="shared" si="5"/>
        <v>0</v>
      </c>
      <c r="L47" s="458" t="str">
        <f t="shared" si="4"/>
        <v xml:space="preserve">-    </v>
      </c>
      <c r="M47" s="453"/>
      <c r="Q47" s="463"/>
      <c r="R47" s="463"/>
      <c r="S47" s="463"/>
      <c r="T47" s="463"/>
    </row>
    <row r="48" spans="1:20" s="459" customFormat="1" ht="11.25">
      <c r="A48" s="460"/>
      <c r="B48" s="492"/>
      <c r="C48" s="494"/>
      <c r="D48" s="498" t="s">
        <v>2678</v>
      </c>
      <c r="E48" s="498" t="s">
        <v>2719</v>
      </c>
      <c r="F48" s="496"/>
      <c r="G48" s="497"/>
      <c r="H48" s="499"/>
      <c r="I48" s="462">
        <f>I49+I50</f>
        <v>0</v>
      </c>
      <c r="J48" s="462">
        <v>0</v>
      </c>
      <c r="K48" s="452">
        <f>+I48-J48</f>
        <v>0</v>
      </c>
      <c r="L48" s="458" t="str">
        <f t="shared" si="4"/>
        <v xml:space="preserve">-    </v>
      </c>
      <c r="M48" s="453"/>
      <c r="Q48" s="463"/>
      <c r="R48" s="463"/>
      <c r="S48" s="463"/>
      <c r="T48" s="463"/>
    </row>
    <row r="49" spans="1:20" s="459" customFormat="1" ht="11.25">
      <c r="A49" s="460"/>
      <c r="B49" s="492"/>
      <c r="C49" s="494"/>
      <c r="D49" s="494"/>
      <c r="E49" s="494" t="s">
        <v>86</v>
      </c>
      <c r="F49" s="496" t="s">
        <v>2720</v>
      </c>
      <c r="G49" s="497"/>
      <c r="H49" s="499"/>
      <c r="I49" s="462">
        <f>+ROUND('SP Min'!D130+'SP Min'!D131+'SP Min'!D132+'SP Min'!D133+'SP Min'!D134+'SP Min'!D135+'SP Min'!D137,0)</f>
        <v>0</v>
      </c>
      <c r="J49" s="462">
        <v>0</v>
      </c>
      <c r="K49" s="452">
        <f t="shared" si="5"/>
        <v>0</v>
      </c>
      <c r="L49" s="458" t="str">
        <f t="shared" si="4"/>
        <v xml:space="preserve">-    </v>
      </c>
      <c r="M49" s="453"/>
      <c r="Q49" s="463"/>
      <c r="R49" s="463"/>
      <c r="S49" s="463"/>
      <c r="T49" s="463"/>
    </row>
    <row r="50" spans="1:20" s="459" customFormat="1" ht="11.25">
      <c r="A50" s="460"/>
      <c r="B50" s="492"/>
      <c r="C50" s="494"/>
      <c r="D50" s="494"/>
      <c r="E50" s="494" t="s">
        <v>88</v>
      </c>
      <c r="F50" s="496" t="s">
        <v>2721</v>
      </c>
      <c r="G50" s="497"/>
      <c r="H50" s="499"/>
      <c r="I50" s="462">
        <f>+ROUND('SP Min'!D136,0)</f>
        <v>0</v>
      </c>
      <c r="J50" s="462">
        <v>0</v>
      </c>
      <c r="K50" s="452">
        <f t="shared" si="5"/>
        <v>0</v>
      </c>
      <c r="L50" s="458" t="str">
        <f t="shared" si="4"/>
        <v xml:space="preserve">-    </v>
      </c>
      <c r="M50" s="453"/>
      <c r="Q50" s="463"/>
      <c r="R50" s="463"/>
      <c r="S50" s="463"/>
      <c r="T50" s="463"/>
    </row>
    <row r="51" spans="1:20" s="459" customFormat="1" ht="11.25">
      <c r="A51" s="460"/>
      <c r="B51" s="492"/>
      <c r="C51" s="494"/>
      <c r="D51" s="498" t="s">
        <v>2680</v>
      </c>
      <c r="E51" s="498" t="s">
        <v>2722</v>
      </c>
      <c r="F51" s="496"/>
      <c r="G51" s="497"/>
      <c r="H51" s="499"/>
      <c r="I51" s="462">
        <f>+ROUND('SP Min'!D138,0)</f>
        <v>0</v>
      </c>
      <c r="J51" s="462">
        <v>0</v>
      </c>
      <c r="K51" s="452">
        <f t="shared" si="5"/>
        <v>0</v>
      </c>
      <c r="L51" s="458" t="str">
        <f t="shared" si="4"/>
        <v xml:space="preserve">-    </v>
      </c>
      <c r="M51" s="453"/>
      <c r="Q51" s="463"/>
      <c r="R51" s="463"/>
      <c r="S51" s="463"/>
      <c r="T51" s="463"/>
    </row>
    <row r="52" spans="1:20" s="459" customFormat="1" ht="11.25">
      <c r="A52" s="460"/>
      <c r="B52" s="492"/>
      <c r="C52" s="494"/>
      <c r="D52" s="498" t="s">
        <v>2703</v>
      </c>
      <c r="E52" s="498" t="s">
        <v>2723</v>
      </c>
      <c r="F52" s="496"/>
      <c r="G52" s="497"/>
      <c r="H52" s="499"/>
      <c r="I52" s="462">
        <f>I53+I54+I55+I56</f>
        <v>0</v>
      </c>
      <c r="J52" s="462">
        <v>0</v>
      </c>
      <c r="K52" s="452">
        <f t="shared" si="5"/>
        <v>0</v>
      </c>
      <c r="L52" s="458" t="str">
        <f t="shared" si="4"/>
        <v xml:space="preserve">-    </v>
      </c>
      <c r="M52" s="453"/>
      <c r="Q52" s="463"/>
      <c r="R52" s="463"/>
      <c r="S52" s="463"/>
      <c r="T52" s="463"/>
    </row>
    <row r="53" spans="1:20" s="459" customFormat="1" ht="11.25">
      <c r="A53" s="460"/>
      <c r="B53" s="492"/>
      <c r="C53" s="494"/>
      <c r="D53" s="494"/>
      <c r="E53" s="494" t="s">
        <v>86</v>
      </c>
      <c r="F53" s="496" t="s">
        <v>2724</v>
      </c>
      <c r="G53" s="497"/>
      <c r="H53" s="499"/>
      <c r="I53" s="462">
        <f>+ROUND('SP Min'!D140,0)</f>
        <v>0</v>
      </c>
      <c r="J53" s="462">
        <v>0</v>
      </c>
      <c r="K53" s="452">
        <f t="shared" si="5"/>
        <v>0</v>
      </c>
      <c r="L53" s="458" t="str">
        <f t="shared" si="4"/>
        <v xml:space="preserve">-    </v>
      </c>
      <c r="M53" s="453"/>
      <c r="Q53" s="463"/>
      <c r="R53" s="463"/>
      <c r="S53" s="463"/>
      <c r="T53" s="463"/>
    </row>
    <row r="54" spans="1:20" s="459" customFormat="1" ht="11.25">
      <c r="A54" s="460"/>
      <c r="B54" s="492"/>
      <c r="C54" s="494"/>
      <c r="D54" s="494"/>
      <c r="E54" s="494" t="s">
        <v>88</v>
      </c>
      <c r="F54" s="496" t="s">
        <v>2725</v>
      </c>
      <c r="G54" s="497"/>
      <c r="H54" s="499"/>
      <c r="I54" s="462">
        <f>+ROUND('SP Min'!D141,0)</f>
        <v>0</v>
      </c>
      <c r="J54" s="462">
        <v>0</v>
      </c>
      <c r="K54" s="452">
        <f t="shared" si="5"/>
        <v>0</v>
      </c>
      <c r="L54" s="458" t="str">
        <f t="shared" si="4"/>
        <v xml:space="preserve">-    </v>
      </c>
      <c r="M54" s="453"/>
      <c r="Q54" s="463"/>
      <c r="R54" s="463"/>
      <c r="S54" s="463"/>
      <c r="T54" s="463"/>
    </row>
    <row r="55" spans="1:20" s="459" customFormat="1" ht="11.25">
      <c r="A55" s="460"/>
      <c r="B55" s="492"/>
      <c r="C55" s="494"/>
      <c r="D55" s="494"/>
      <c r="E55" s="494" t="s">
        <v>116</v>
      </c>
      <c r="F55" s="496" t="s">
        <v>2726</v>
      </c>
      <c r="G55" s="497"/>
      <c r="H55" s="499"/>
      <c r="I55" s="462">
        <f>+ROUND('SP Min'!D142,0)</f>
        <v>0</v>
      </c>
      <c r="J55" s="462">
        <v>0</v>
      </c>
      <c r="K55" s="452">
        <f t="shared" si="5"/>
        <v>0</v>
      </c>
      <c r="L55" s="458" t="str">
        <f t="shared" si="4"/>
        <v xml:space="preserve">-    </v>
      </c>
      <c r="M55" s="453"/>
      <c r="Q55" s="463"/>
      <c r="R55" s="463"/>
      <c r="S55" s="463"/>
      <c r="T55" s="463"/>
    </row>
    <row r="56" spans="1:20" s="459" customFormat="1" ht="11.25">
      <c r="A56" s="460"/>
      <c r="B56" s="492"/>
      <c r="C56" s="494"/>
      <c r="D56" s="494"/>
      <c r="E56" s="494" t="s">
        <v>2671</v>
      </c>
      <c r="F56" s="496" t="s">
        <v>2727</v>
      </c>
      <c r="G56" s="497"/>
      <c r="H56" s="499"/>
      <c r="I56" s="462">
        <f>+ROUND('SP Min'!D143,0)</f>
        <v>0</v>
      </c>
      <c r="J56" s="462">
        <v>0</v>
      </c>
      <c r="K56" s="452">
        <f t="shared" si="5"/>
        <v>0</v>
      </c>
      <c r="L56" s="458" t="str">
        <f t="shared" si="4"/>
        <v xml:space="preserve">-    </v>
      </c>
      <c r="M56" s="453"/>
      <c r="Q56" s="463"/>
      <c r="R56" s="463"/>
      <c r="S56" s="463"/>
      <c r="T56" s="463"/>
    </row>
    <row r="57" spans="1:20" s="459" customFormat="1" ht="11.25">
      <c r="A57" s="460"/>
      <c r="B57" s="494"/>
      <c r="C57" s="494"/>
      <c r="D57" s="498" t="s">
        <v>2705</v>
      </c>
      <c r="E57" s="498" t="s">
        <v>2728</v>
      </c>
      <c r="F57" s="500"/>
      <c r="G57" s="497"/>
      <c r="H57" s="499"/>
      <c r="I57" s="462">
        <f>+ROUND('SP Min'!D144,0)</f>
        <v>0</v>
      </c>
      <c r="J57" s="462">
        <v>0</v>
      </c>
      <c r="K57" s="452">
        <f t="shared" si="5"/>
        <v>0</v>
      </c>
      <c r="L57" s="458" t="str">
        <f t="shared" si="4"/>
        <v xml:space="preserve">-    </v>
      </c>
      <c r="M57" s="453"/>
      <c r="Q57" s="463"/>
      <c r="R57" s="463"/>
      <c r="S57" s="463"/>
      <c r="T57" s="463"/>
    </row>
    <row r="58" spans="1:20" s="459" customFormat="1" ht="11.25">
      <c r="A58" s="460"/>
      <c r="B58" s="494"/>
      <c r="C58" s="494" t="s">
        <v>88</v>
      </c>
      <c r="D58" s="494" t="s">
        <v>2729</v>
      </c>
      <c r="E58" s="494"/>
      <c r="F58" s="496"/>
      <c r="G58" s="497"/>
      <c r="H58" s="497"/>
      <c r="I58" s="462">
        <f>I59+I66</f>
        <v>40673076</v>
      </c>
      <c r="J58" s="462">
        <v>3952690</v>
      </c>
      <c r="K58" s="452">
        <f t="shared" si="5"/>
        <v>36720386</v>
      </c>
      <c r="L58" s="458">
        <f t="shared" si="4"/>
        <v>9.2899736635051067</v>
      </c>
      <c r="M58" s="453"/>
      <c r="Q58" s="463"/>
      <c r="R58" s="463"/>
      <c r="S58" s="463"/>
      <c r="T58" s="463"/>
    </row>
    <row r="59" spans="1:20" s="459" customFormat="1" ht="11.25">
      <c r="A59" s="460"/>
      <c r="B59" s="494"/>
      <c r="C59" s="494"/>
      <c r="D59" s="498" t="s">
        <v>2678</v>
      </c>
      <c r="E59" s="498" t="s">
        <v>2730</v>
      </c>
      <c r="F59" s="500"/>
      <c r="G59" s="497"/>
      <c r="H59" s="497"/>
      <c r="I59" s="462">
        <f>I60+I65</f>
        <v>27879206</v>
      </c>
      <c r="J59" s="462">
        <v>3229778</v>
      </c>
      <c r="K59" s="452">
        <f t="shared" si="5"/>
        <v>24649428</v>
      </c>
      <c r="L59" s="458">
        <f t="shared" si="4"/>
        <v>7.631926404848878</v>
      </c>
      <c r="M59" s="453"/>
      <c r="Q59" s="463"/>
      <c r="R59" s="463"/>
      <c r="S59" s="463"/>
      <c r="T59" s="463"/>
    </row>
    <row r="60" spans="1:20" s="459" customFormat="1" ht="11.25">
      <c r="A60" s="460"/>
      <c r="B60" s="494"/>
      <c r="C60" s="494"/>
      <c r="D60" s="494"/>
      <c r="E60" s="494" t="s">
        <v>86</v>
      </c>
      <c r="F60" s="500" t="s">
        <v>2731</v>
      </c>
      <c r="G60" s="497">
        <f>+I60-H60</f>
        <v>26576515</v>
      </c>
      <c r="H60" s="497">
        <v>620000</v>
      </c>
      <c r="I60" s="462">
        <f>I61+I62+I63+I64</f>
        <v>27196515</v>
      </c>
      <c r="J60" s="462">
        <v>2547087</v>
      </c>
      <c r="K60" s="452">
        <f t="shared" si="5"/>
        <v>24649428</v>
      </c>
      <c r="L60" s="458">
        <f t="shared" si="4"/>
        <v>9.6774974706399899</v>
      </c>
      <c r="M60" s="453"/>
      <c r="Q60" s="463"/>
      <c r="R60" s="463"/>
      <c r="S60" s="463"/>
      <c r="T60" s="463"/>
    </row>
    <row r="61" spans="1:20" s="459" customFormat="1" ht="22.5">
      <c r="A61" s="460"/>
      <c r="B61" s="494"/>
      <c r="C61" s="494"/>
      <c r="D61" s="494"/>
      <c r="E61" s="494"/>
      <c r="F61" s="501" t="s">
        <v>2732</v>
      </c>
      <c r="G61" s="497"/>
      <c r="H61" s="497"/>
      <c r="I61" s="462">
        <f>+ROUND('SP Min'!D147+'SP Min'!D148+'SP Min'!D149+'SP Min'!D150+'SP Min'!D154+'SP Min'!D156,0)</f>
        <v>0</v>
      </c>
      <c r="J61" s="462">
        <v>0</v>
      </c>
      <c r="K61" s="452">
        <f t="shared" si="5"/>
        <v>0</v>
      </c>
      <c r="L61" s="458" t="str">
        <f t="shared" si="4"/>
        <v xml:space="preserve">-    </v>
      </c>
      <c r="M61" s="453"/>
      <c r="Q61" s="463"/>
      <c r="R61" s="463"/>
      <c r="S61" s="463"/>
      <c r="T61" s="463"/>
    </row>
    <row r="62" spans="1:20" s="459" customFormat="1" ht="22.5">
      <c r="A62" s="460"/>
      <c r="B62" s="494"/>
      <c r="C62" s="494"/>
      <c r="D62" s="494"/>
      <c r="E62" s="494"/>
      <c r="F62" s="501" t="s">
        <v>2733</v>
      </c>
      <c r="G62" s="497"/>
      <c r="H62" s="497"/>
      <c r="I62" s="462">
        <f>+ROUND('SP Min'!D151,0)</f>
        <v>0</v>
      </c>
      <c r="J62" s="462">
        <v>0</v>
      </c>
      <c r="K62" s="452">
        <f t="shared" si="5"/>
        <v>0</v>
      </c>
      <c r="L62" s="458" t="str">
        <f t="shared" si="4"/>
        <v xml:space="preserve">-    </v>
      </c>
      <c r="M62" s="453"/>
      <c r="Q62" s="463"/>
      <c r="R62" s="463"/>
      <c r="S62" s="463"/>
      <c r="T62" s="463"/>
    </row>
    <row r="63" spans="1:20" s="459" customFormat="1" ht="22.5">
      <c r="A63" s="460"/>
      <c r="B63" s="494"/>
      <c r="C63" s="494"/>
      <c r="D63" s="494"/>
      <c r="E63" s="494"/>
      <c r="F63" s="501" t="s">
        <v>2734</v>
      </c>
      <c r="G63" s="497"/>
      <c r="H63" s="497"/>
      <c r="I63" s="462">
        <f>+ROUND('SP Min'!D152,0)</f>
        <v>0</v>
      </c>
      <c r="J63" s="462">
        <v>0</v>
      </c>
      <c r="K63" s="452">
        <f t="shared" si="5"/>
        <v>0</v>
      </c>
      <c r="L63" s="458" t="str">
        <f t="shared" si="4"/>
        <v xml:space="preserve">-    </v>
      </c>
      <c r="M63" s="453"/>
      <c r="Q63" s="463"/>
      <c r="R63" s="463"/>
      <c r="S63" s="463"/>
      <c r="T63" s="463"/>
    </row>
    <row r="64" spans="1:20" s="459" customFormat="1" ht="22.5">
      <c r="A64" s="460"/>
      <c r="B64" s="494"/>
      <c r="C64" s="494"/>
      <c r="D64" s="494"/>
      <c r="E64" s="494"/>
      <c r="F64" s="501" t="s">
        <v>2735</v>
      </c>
      <c r="G64" s="497"/>
      <c r="H64" s="502"/>
      <c r="I64" s="462">
        <f>+ROUND('SP Min'!D153,0)</f>
        <v>27196515</v>
      </c>
      <c r="J64" s="462">
        <v>2547087</v>
      </c>
      <c r="K64" s="452">
        <f t="shared" si="5"/>
        <v>24649428</v>
      </c>
      <c r="L64" s="458">
        <f t="shared" si="4"/>
        <v>9.6774974706399899</v>
      </c>
      <c r="M64" s="453"/>
      <c r="Q64" s="463"/>
      <c r="R64" s="463"/>
      <c r="S64" s="463"/>
      <c r="T64" s="463"/>
    </row>
    <row r="65" spans="1:20" s="459" customFormat="1" ht="11.25">
      <c r="A65" s="460"/>
      <c r="B65" s="494"/>
      <c r="C65" s="494"/>
      <c r="D65" s="494"/>
      <c r="E65" s="494" t="s">
        <v>88</v>
      </c>
      <c r="F65" s="494" t="s">
        <v>2736</v>
      </c>
      <c r="G65" s="497"/>
      <c r="H65" s="502"/>
      <c r="I65" s="462">
        <f>+ROUND('SP Min'!D155,0)</f>
        <v>682691</v>
      </c>
      <c r="J65" s="462">
        <v>682691</v>
      </c>
      <c r="K65" s="452">
        <f t="shared" si="5"/>
        <v>0</v>
      </c>
      <c r="L65" s="458">
        <f t="shared" si="4"/>
        <v>0</v>
      </c>
      <c r="M65" s="453"/>
      <c r="Q65" s="463"/>
      <c r="R65" s="463"/>
      <c r="S65" s="463"/>
      <c r="T65" s="463"/>
    </row>
    <row r="66" spans="1:20" s="459" customFormat="1" ht="11.25">
      <c r="A66" s="460"/>
      <c r="B66" s="494"/>
      <c r="C66" s="494"/>
      <c r="D66" s="498" t="s">
        <v>2680</v>
      </c>
      <c r="E66" s="498" t="s">
        <v>2737</v>
      </c>
      <c r="F66" s="500"/>
      <c r="G66" s="497"/>
      <c r="H66" s="502"/>
      <c r="I66" s="462">
        <f>I67+I68+I69+I70</f>
        <v>12793870</v>
      </c>
      <c r="J66" s="462">
        <v>722912</v>
      </c>
      <c r="K66" s="452">
        <f t="shared" si="5"/>
        <v>12070958</v>
      </c>
      <c r="L66" s="458">
        <f t="shared" si="4"/>
        <v>16.697686578726042</v>
      </c>
      <c r="M66" s="453"/>
      <c r="Q66" s="463"/>
      <c r="R66" s="463"/>
      <c r="S66" s="463"/>
      <c r="T66" s="463"/>
    </row>
    <row r="67" spans="1:20" s="459" customFormat="1" ht="11.25">
      <c r="A67" s="460"/>
      <c r="B67" s="494"/>
      <c r="C67" s="494"/>
      <c r="D67" s="494"/>
      <c r="E67" s="494" t="s">
        <v>86</v>
      </c>
      <c r="F67" s="500" t="s">
        <v>2738</v>
      </c>
      <c r="G67" s="497">
        <f>+I67-H67</f>
        <v>12483590</v>
      </c>
      <c r="H67" s="502">
        <v>310280</v>
      </c>
      <c r="I67" s="462">
        <f>+ROUND('SP Min'!D158,0)</f>
        <v>12793870</v>
      </c>
      <c r="J67" s="462">
        <v>722912</v>
      </c>
      <c r="K67" s="452">
        <f t="shared" si="5"/>
        <v>12070958</v>
      </c>
      <c r="L67" s="458">
        <f t="shared" si="4"/>
        <v>16.697686578726042</v>
      </c>
      <c r="M67" s="453"/>
      <c r="Q67" s="463"/>
      <c r="R67" s="463"/>
      <c r="S67" s="463"/>
      <c r="T67" s="463"/>
    </row>
    <row r="68" spans="1:20" s="459" customFormat="1" ht="11.25">
      <c r="A68" s="460"/>
      <c r="B68" s="494"/>
      <c r="C68" s="494"/>
      <c r="D68" s="494"/>
      <c r="E68" s="494" t="s">
        <v>88</v>
      </c>
      <c r="F68" s="500" t="s">
        <v>2739</v>
      </c>
      <c r="G68" s="497"/>
      <c r="H68" s="502"/>
      <c r="I68" s="462">
        <f>+ROUND('SP Min'!D159,0)</f>
        <v>0</v>
      </c>
      <c r="J68" s="462">
        <v>0</v>
      </c>
      <c r="K68" s="452">
        <f t="shared" si="5"/>
        <v>0</v>
      </c>
      <c r="L68" s="458" t="str">
        <f t="shared" si="4"/>
        <v xml:space="preserve">-    </v>
      </c>
      <c r="M68" s="453"/>
      <c r="Q68" s="463"/>
      <c r="R68" s="463"/>
      <c r="S68" s="463"/>
      <c r="T68" s="463"/>
    </row>
    <row r="69" spans="1:20" s="459" customFormat="1" ht="11.25">
      <c r="A69" s="460"/>
      <c r="B69" s="494"/>
      <c r="C69" s="494"/>
      <c r="D69" s="494"/>
      <c r="E69" s="494" t="s">
        <v>116</v>
      </c>
      <c r="F69" s="500" t="s">
        <v>2740</v>
      </c>
      <c r="G69" s="497"/>
      <c r="H69" s="502"/>
      <c r="I69" s="462">
        <f>+ROUND('SP Min'!D160+'SP Min'!D161+'SP Min'!D164+'SP Min'!D165+'SP Min'!D162,0)</f>
        <v>0</v>
      </c>
      <c r="J69" s="462">
        <v>0</v>
      </c>
      <c r="K69" s="452">
        <f t="shared" si="5"/>
        <v>0</v>
      </c>
      <c r="L69" s="458" t="str">
        <f t="shared" si="4"/>
        <v xml:space="preserve">-    </v>
      </c>
      <c r="M69" s="453"/>
      <c r="Q69" s="463"/>
      <c r="R69" s="463"/>
      <c r="S69" s="463"/>
      <c r="T69" s="463"/>
    </row>
    <row r="70" spans="1:20" s="459" customFormat="1" ht="22.5">
      <c r="A70" s="460"/>
      <c r="B70" s="492"/>
      <c r="C70" s="494"/>
      <c r="D70" s="492"/>
      <c r="E70" s="494" t="s">
        <v>2671</v>
      </c>
      <c r="F70" s="503" t="s">
        <v>2741</v>
      </c>
      <c r="G70" s="497"/>
      <c r="H70" s="497"/>
      <c r="I70" s="462">
        <f>+ROUND('SP Min'!D163,0)</f>
        <v>0</v>
      </c>
      <c r="J70" s="462">
        <v>0</v>
      </c>
      <c r="K70" s="452">
        <f t="shared" si="5"/>
        <v>0</v>
      </c>
      <c r="L70" s="458" t="str">
        <f t="shared" si="4"/>
        <v xml:space="preserve">-    </v>
      </c>
      <c r="M70" s="453"/>
      <c r="Q70" s="463"/>
      <c r="R70" s="463"/>
      <c r="S70" s="463"/>
      <c r="T70" s="463"/>
    </row>
    <row r="71" spans="1:20" s="459" customFormat="1" ht="11.25">
      <c r="A71" s="460"/>
      <c r="B71" s="492"/>
      <c r="C71" s="494" t="s">
        <v>116</v>
      </c>
      <c r="D71" s="494" t="s">
        <v>2742</v>
      </c>
      <c r="E71" s="461"/>
      <c r="F71" s="500"/>
      <c r="G71" s="497"/>
      <c r="H71" s="497"/>
      <c r="I71" s="462">
        <f>+ROUND('SP Min'!D166,0)</f>
        <v>0</v>
      </c>
      <c r="J71" s="462">
        <v>8241</v>
      </c>
      <c r="K71" s="452">
        <f t="shared" si="5"/>
        <v>-8241</v>
      </c>
      <c r="L71" s="458">
        <f t="shared" si="4"/>
        <v>-1</v>
      </c>
      <c r="M71" s="453"/>
      <c r="Q71" s="463"/>
      <c r="R71" s="463"/>
      <c r="S71" s="463"/>
      <c r="T71" s="463"/>
    </row>
    <row r="72" spans="1:20" s="459" customFormat="1" ht="11.25">
      <c r="A72" s="460"/>
      <c r="B72" s="492"/>
      <c r="C72" s="494" t="s">
        <v>2671</v>
      </c>
      <c r="D72" s="494" t="s">
        <v>2743</v>
      </c>
      <c r="E72" s="494"/>
      <c r="F72" s="500"/>
      <c r="G72" s="497"/>
      <c r="H72" s="497"/>
      <c r="I72" s="462">
        <f>I73+I74</f>
        <v>96407175</v>
      </c>
      <c r="J72" s="462">
        <v>144100637</v>
      </c>
      <c r="K72" s="452">
        <f t="shared" si="5"/>
        <v>-47693462</v>
      </c>
      <c r="L72" s="458">
        <f t="shared" si="4"/>
        <v>-0.3309732905622062</v>
      </c>
      <c r="M72" s="453"/>
      <c r="Q72" s="463"/>
      <c r="R72" s="463"/>
      <c r="S72" s="463"/>
      <c r="T72" s="463"/>
    </row>
    <row r="73" spans="1:20" s="459" customFormat="1" ht="11.25">
      <c r="A73" s="460"/>
      <c r="B73" s="492"/>
      <c r="C73" s="494"/>
      <c r="D73" s="498" t="s">
        <v>2678</v>
      </c>
      <c r="E73" s="498" t="s">
        <v>2744</v>
      </c>
      <c r="F73" s="500"/>
      <c r="G73" s="497"/>
      <c r="H73" s="497"/>
      <c r="I73" s="462">
        <f>+ROUND('SP Min'!D168+'SP Min'!D172+'SP Min'!D173+'SP Min'!D175,0)</f>
        <v>96353473</v>
      </c>
      <c r="J73" s="462">
        <v>144044035</v>
      </c>
      <c r="K73" s="452">
        <f t="shared" si="5"/>
        <v>-47690562</v>
      </c>
      <c r="L73" s="458">
        <f t="shared" si="4"/>
        <v>-0.33108321354646864</v>
      </c>
      <c r="M73" s="453"/>
      <c r="Q73" s="463"/>
      <c r="R73" s="463"/>
      <c r="S73" s="463"/>
      <c r="T73" s="463"/>
    </row>
    <row r="74" spans="1:20" s="459" customFormat="1" ht="11.25">
      <c r="A74" s="460"/>
      <c r="B74" s="492"/>
      <c r="C74" s="494"/>
      <c r="D74" s="498" t="s">
        <v>2680</v>
      </c>
      <c r="E74" s="498" t="s">
        <v>2745</v>
      </c>
      <c r="F74" s="500"/>
      <c r="G74" s="497"/>
      <c r="H74" s="497"/>
      <c r="I74" s="462">
        <f>+ROUND('SP Min'!D174,0)</f>
        <v>53702</v>
      </c>
      <c r="J74" s="462">
        <v>56602</v>
      </c>
      <c r="K74" s="452">
        <f t="shared" si="5"/>
        <v>-2900</v>
      </c>
      <c r="L74" s="458">
        <f t="shared" si="4"/>
        <v>-5.1234938694745769E-2</v>
      </c>
      <c r="M74" s="453"/>
      <c r="Q74" s="463"/>
      <c r="R74" s="463"/>
      <c r="S74" s="463"/>
      <c r="T74" s="463"/>
    </row>
    <row r="75" spans="1:20" s="459" customFormat="1" ht="11.25">
      <c r="A75" s="460"/>
      <c r="B75" s="492"/>
      <c r="C75" s="494" t="s">
        <v>2673</v>
      </c>
      <c r="D75" s="494" t="s">
        <v>2746</v>
      </c>
      <c r="E75" s="494"/>
      <c r="F75" s="500"/>
      <c r="G75" s="497"/>
      <c r="H75" s="497"/>
      <c r="I75" s="462">
        <f>+ROUND('SP Min'!D176,0)</f>
        <v>0</v>
      </c>
      <c r="J75" s="462">
        <v>0</v>
      </c>
      <c r="K75" s="452">
        <f t="shared" si="5"/>
        <v>0</v>
      </c>
      <c r="L75" s="458" t="str">
        <f t="shared" si="4"/>
        <v xml:space="preserve">-    </v>
      </c>
      <c r="M75" s="453"/>
      <c r="Q75" s="463"/>
      <c r="R75" s="463"/>
      <c r="S75" s="463"/>
      <c r="T75" s="463"/>
    </row>
    <row r="76" spans="1:20" s="459" customFormat="1" ht="11.25">
      <c r="A76" s="460"/>
      <c r="B76" s="492"/>
      <c r="C76" s="494" t="s">
        <v>2688</v>
      </c>
      <c r="D76" s="494" t="s">
        <v>2747</v>
      </c>
      <c r="E76" s="494"/>
      <c r="F76" s="500"/>
      <c r="G76" s="497"/>
      <c r="H76" s="497"/>
      <c r="I76" s="504">
        <f>+ROUND('SP Min'!D180,0)</f>
        <v>47454</v>
      </c>
      <c r="J76" s="504">
        <v>35877</v>
      </c>
      <c r="K76" s="452">
        <f t="shared" si="5"/>
        <v>11577</v>
      </c>
      <c r="L76" s="458">
        <f t="shared" si="4"/>
        <v>0.32268584329793459</v>
      </c>
      <c r="M76" s="453"/>
      <c r="Q76" s="463"/>
      <c r="R76" s="463"/>
      <c r="S76" s="463"/>
      <c r="T76" s="463"/>
    </row>
    <row r="77" spans="1:20" s="459" customFormat="1" ht="11.25">
      <c r="A77" s="460"/>
      <c r="B77" s="492"/>
      <c r="C77" s="494" t="s">
        <v>2690</v>
      </c>
      <c r="D77" s="494" t="s">
        <v>2748</v>
      </c>
      <c r="E77" s="494"/>
      <c r="F77" s="500"/>
      <c r="G77" s="505"/>
      <c r="H77" s="505"/>
      <c r="I77" s="462">
        <f>+ROUND('SP Min'!D181,0)</f>
        <v>508370</v>
      </c>
      <c r="J77" s="504">
        <v>566465</v>
      </c>
      <c r="K77" s="452">
        <f t="shared" si="5"/>
        <v>-58095</v>
      </c>
      <c r="L77" s="458">
        <f t="shared" si="4"/>
        <v>-0.10255708649254587</v>
      </c>
      <c r="M77" s="453"/>
      <c r="Q77" s="463"/>
      <c r="R77" s="463"/>
      <c r="S77" s="463"/>
      <c r="T77" s="463"/>
    </row>
    <row r="78" spans="1:20" s="448" customFormat="1" ht="11.25">
      <c r="A78" s="490"/>
      <c r="B78" s="492" t="s">
        <v>2698</v>
      </c>
      <c r="C78" s="506" t="s">
        <v>2749</v>
      </c>
      <c r="D78" s="492"/>
      <c r="E78" s="492"/>
      <c r="F78" s="506"/>
      <c r="G78" s="492"/>
      <c r="H78" s="492"/>
      <c r="I78" s="507">
        <f>SUM(I79:I80)</f>
        <v>0</v>
      </c>
      <c r="J78" s="507">
        <v>0</v>
      </c>
      <c r="K78" s="452">
        <f t="shared" si="5"/>
        <v>0</v>
      </c>
      <c r="L78" s="447" t="str">
        <f t="shared" si="4"/>
        <v xml:space="preserve">-    </v>
      </c>
      <c r="M78" s="453"/>
      <c r="Q78" s="465"/>
      <c r="R78" s="465"/>
      <c r="S78" s="465"/>
      <c r="T78" s="465"/>
    </row>
    <row r="79" spans="1:20" s="459" customFormat="1" ht="11.25">
      <c r="A79" s="460"/>
      <c r="B79" s="492"/>
      <c r="C79" s="494" t="s">
        <v>86</v>
      </c>
      <c r="D79" s="494" t="s">
        <v>2750</v>
      </c>
      <c r="E79" s="492"/>
      <c r="F79" s="461"/>
      <c r="G79" s="494"/>
      <c r="H79" s="494"/>
      <c r="I79" s="504">
        <f>+ROUND('SP Min'!D193,0)</f>
        <v>0</v>
      </c>
      <c r="J79" s="504">
        <v>0</v>
      </c>
      <c r="K79" s="452">
        <f t="shared" si="5"/>
        <v>0</v>
      </c>
      <c r="L79" s="458" t="str">
        <f t="shared" si="4"/>
        <v xml:space="preserve">-    </v>
      </c>
      <c r="M79" s="453"/>
      <c r="Q79" s="463"/>
      <c r="R79" s="463"/>
      <c r="S79" s="463"/>
      <c r="T79" s="463"/>
    </row>
    <row r="80" spans="1:20" s="459" customFormat="1" ht="11.25">
      <c r="A80" s="490"/>
      <c r="B80" s="492"/>
      <c r="C80" s="494" t="s">
        <v>88</v>
      </c>
      <c r="D80" s="494" t="s">
        <v>2751</v>
      </c>
      <c r="E80" s="492"/>
      <c r="F80" s="508"/>
      <c r="G80" s="494"/>
      <c r="H80" s="494"/>
      <c r="I80" s="504">
        <f>+ROUND('SP Min'!D194,0)</f>
        <v>0</v>
      </c>
      <c r="J80" s="504">
        <v>0</v>
      </c>
      <c r="K80" s="452">
        <f t="shared" si="5"/>
        <v>0</v>
      </c>
      <c r="L80" s="458" t="str">
        <f t="shared" si="4"/>
        <v xml:space="preserve">-    </v>
      </c>
      <c r="M80" s="453"/>
      <c r="Q80" s="463"/>
      <c r="R80" s="463"/>
      <c r="S80" s="463"/>
      <c r="T80" s="463"/>
    </row>
    <row r="81" spans="1:20" s="448" customFormat="1" ht="11.25">
      <c r="A81" s="449"/>
      <c r="B81" s="492" t="s">
        <v>2752</v>
      </c>
      <c r="C81" s="506" t="s">
        <v>2753</v>
      </c>
      <c r="D81" s="492"/>
      <c r="E81" s="492"/>
      <c r="F81" s="442"/>
      <c r="G81" s="492"/>
      <c r="H81" s="492"/>
      <c r="I81" s="509">
        <f>SUM(I82:I85)</f>
        <v>38999330</v>
      </c>
      <c r="J81" s="510">
        <v>32808726</v>
      </c>
      <c r="K81" s="452">
        <f t="shared" si="5"/>
        <v>6190604</v>
      </c>
      <c r="L81" s="447">
        <f t="shared" si="4"/>
        <v>0.18868772899014732</v>
      </c>
      <c r="M81" s="453"/>
      <c r="Q81" s="465"/>
      <c r="R81" s="465"/>
      <c r="S81" s="465"/>
      <c r="T81" s="465"/>
    </row>
    <row r="82" spans="1:20" s="459" customFormat="1" ht="11.25">
      <c r="A82" s="490"/>
      <c r="B82" s="492"/>
      <c r="C82" s="492" t="s">
        <v>86</v>
      </c>
      <c r="D82" s="500" t="s">
        <v>2754</v>
      </c>
      <c r="E82" s="492"/>
      <c r="F82" s="500"/>
      <c r="G82" s="494"/>
      <c r="H82" s="494"/>
      <c r="I82" s="462">
        <f>+ROUND('SP Min'!D196,0)</f>
        <v>1343</v>
      </c>
      <c r="J82" s="504">
        <v>1373</v>
      </c>
      <c r="K82" s="452">
        <f t="shared" si="5"/>
        <v>-30</v>
      </c>
      <c r="L82" s="458">
        <f t="shared" si="4"/>
        <v>-2.1849963583394028E-2</v>
      </c>
      <c r="M82" s="453"/>
      <c r="Q82" s="463"/>
      <c r="R82" s="463"/>
      <c r="S82" s="463"/>
      <c r="T82" s="463"/>
    </row>
    <row r="83" spans="1:20" s="459" customFormat="1" ht="11.25">
      <c r="A83" s="460"/>
      <c r="B83" s="492"/>
      <c r="C83" s="492" t="s">
        <v>88</v>
      </c>
      <c r="D83" s="500" t="s">
        <v>2755</v>
      </c>
      <c r="E83" s="492"/>
      <c r="F83" s="461"/>
      <c r="G83" s="494"/>
      <c r="H83" s="511"/>
      <c r="I83" s="462">
        <f>+ROUND('SP Min'!D197,0)</f>
        <v>38997987</v>
      </c>
      <c r="J83" s="504">
        <v>32807353</v>
      </c>
      <c r="K83" s="452">
        <f t="shared" si="5"/>
        <v>6190634</v>
      </c>
      <c r="L83" s="458">
        <f t="shared" si="4"/>
        <v>0.18869654007136755</v>
      </c>
      <c r="M83" s="453"/>
      <c r="Q83" s="463"/>
      <c r="R83" s="463"/>
      <c r="S83" s="463"/>
      <c r="T83" s="463"/>
    </row>
    <row r="84" spans="1:20" s="459" customFormat="1" ht="11.25">
      <c r="A84" s="460"/>
      <c r="B84" s="492"/>
      <c r="C84" s="492" t="s">
        <v>116</v>
      </c>
      <c r="D84" s="500" t="s">
        <v>2756</v>
      </c>
      <c r="E84" s="492"/>
      <c r="F84" s="461"/>
      <c r="G84" s="494"/>
      <c r="H84" s="494"/>
      <c r="I84" s="462">
        <f>+ROUND('SP Min'!D198,0)</f>
        <v>0</v>
      </c>
      <c r="J84" s="504">
        <v>0</v>
      </c>
      <c r="K84" s="452">
        <f t="shared" si="5"/>
        <v>0</v>
      </c>
      <c r="L84" s="458" t="str">
        <f t="shared" si="4"/>
        <v xml:space="preserve">-    </v>
      </c>
      <c r="M84" s="453"/>
      <c r="Q84" s="463"/>
      <c r="R84" s="463"/>
      <c r="S84" s="463"/>
      <c r="T84" s="463"/>
    </row>
    <row r="85" spans="1:20" s="459" customFormat="1" ht="11.25">
      <c r="A85" s="460"/>
      <c r="B85" s="492"/>
      <c r="C85" s="492" t="s">
        <v>2671</v>
      </c>
      <c r="D85" s="500" t="s">
        <v>2757</v>
      </c>
      <c r="E85" s="492"/>
      <c r="F85" s="461"/>
      <c r="G85" s="494"/>
      <c r="H85" s="494"/>
      <c r="I85" s="462">
        <f>+ROUND('SP Min'!D199,0)</f>
        <v>0</v>
      </c>
      <c r="J85" s="504">
        <v>0</v>
      </c>
      <c r="K85" s="452">
        <f t="shared" si="5"/>
        <v>0</v>
      </c>
      <c r="L85" s="458" t="str">
        <f t="shared" si="4"/>
        <v xml:space="preserve">-    </v>
      </c>
      <c r="M85" s="453"/>
      <c r="Q85" s="463"/>
      <c r="R85" s="463"/>
      <c r="S85" s="463"/>
      <c r="T85" s="463"/>
    </row>
    <row r="86" spans="1:20" s="448" customFormat="1" ht="11.25">
      <c r="A86" s="862" t="s">
        <v>2758</v>
      </c>
      <c r="B86" s="863"/>
      <c r="C86" s="863"/>
      <c r="D86" s="863"/>
      <c r="E86" s="863"/>
      <c r="F86" s="863"/>
      <c r="G86" s="864"/>
      <c r="H86" s="863"/>
      <c r="I86" s="484">
        <f>I40+I46+I78+I81</f>
        <v>242614553</v>
      </c>
      <c r="J86" s="484">
        <f>J40+J46+J78+J81</f>
        <v>247439145</v>
      </c>
      <c r="K86" s="486">
        <f t="shared" si="5"/>
        <v>-4824592</v>
      </c>
      <c r="L86" s="145">
        <f>IF(J86=0,"-    ",K86/J86)</f>
        <v>-1.949809517810935E-2</v>
      </c>
      <c r="M86" s="453"/>
      <c r="Q86" s="465"/>
      <c r="R86" s="465"/>
      <c r="S86" s="465"/>
      <c r="T86" s="465"/>
    </row>
    <row r="87" spans="1:20" s="448" customFormat="1" ht="11.25">
      <c r="A87" s="490" t="s">
        <v>84</v>
      </c>
      <c r="B87" s="491" t="s">
        <v>2759</v>
      </c>
      <c r="C87" s="492"/>
      <c r="D87" s="492"/>
      <c r="E87" s="492"/>
      <c r="F87" s="442"/>
      <c r="G87" s="512"/>
      <c r="H87" s="513"/>
      <c r="I87" s="514"/>
      <c r="J87" s="514"/>
      <c r="K87" s="452">
        <f t="shared" si="5"/>
        <v>0</v>
      </c>
      <c r="L87" s="458" t="str">
        <f t="shared" ref="L87" si="6">IF(J87=0,"-    ",K87/K87)</f>
        <v xml:space="preserve">-    </v>
      </c>
      <c r="M87" s="453"/>
      <c r="Q87" s="465"/>
      <c r="R87" s="465"/>
      <c r="S87" s="465"/>
      <c r="T87" s="465"/>
    </row>
    <row r="88" spans="1:20" s="448" customFormat="1" ht="11.25">
      <c r="A88" s="490"/>
      <c r="B88" s="492" t="s">
        <v>2666</v>
      </c>
      <c r="C88" s="491" t="s">
        <v>2760</v>
      </c>
      <c r="D88" s="492"/>
      <c r="E88" s="492"/>
      <c r="F88" s="506"/>
      <c r="G88" s="492"/>
      <c r="H88" s="513"/>
      <c r="I88" s="504">
        <f>+ROUND('SP Min'!D201,0)</f>
        <v>0</v>
      </c>
      <c r="J88" s="504">
        <f>+ROUND('SP Min'!E201,0)</f>
        <v>0</v>
      </c>
      <c r="K88" s="452">
        <f t="shared" si="5"/>
        <v>0</v>
      </c>
      <c r="L88" s="458" t="str">
        <f t="shared" si="4"/>
        <v xml:space="preserve">-    </v>
      </c>
      <c r="M88" s="453"/>
      <c r="Q88" s="465"/>
      <c r="R88" s="465"/>
      <c r="S88" s="465"/>
      <c r="T88" s="465"/>
    </row>
    <row r="89" spans="1:20" s="448" customFormat="1" ht="11.25">
      <c r="A89" s="490"/>
      <c r="B89" s="492" t="s">
        <v>2675</v>
      </c>
      <c r="C89" s="491" t="s">
        <v>2761</v>
      </c>
      <c r="D89" s="492"/>
      <c r="E89" s="492"/>
      <c r="F89" s="442"/>
      <c r="G89" s="515"/>
      <c r="H89" s="513"/>
      <c r="I89" s="504">
        <f>+ROUND('SP Min'!D204,0)</f>
        <v>663555</v>
      </c>
      <c r="J89" s="504">
        <f>+ROUND('SP Min'!E204,0)</f>
        <v>1841599</v>
      </c>
      <c r="K89" s="452">
        <f t="shared" si="5"/>
        <v>-1178044</v>
      </c>
      <c r="L89" s="458">
        <f t="shared" si="4"/>
        <v>-0.63968540382569716</v>
      </c>
      <c r="M89" s="453"/>
      <c r="Q89" s="465"/>
      <c r="R89" s="465"/>
      <c r="S89" s="465"/>
      <c r="T89" s="465"/>
    </row>
    <row r="90" spans="1:20" s="448" customFormat="1" ht="11.25">
      <c r="A90" s="862" t="s">
        <v>2762</v>
      </c>
      <c r="B90" s="863"/>
      <c r="C90" s="863"/>
      <c r="D90" s="863"/>
      <c r="E90" s="863"/>
      <c r="F90" s="863"/>
      <c r="G90" s="865"/>
      <c r="H90" s="863"/>
      <c r="I90" s="484">
        <f>SUM(I88:I89)</f>
        <v>663555</v>
      </c>
      <c r="J90" s="484">
        <f>SUM(J88:J89)</f>
        <v>1841599</v>
      </c>
      <c r="K90" s="486">
        <f t="shared" si="5"/>
        <v>-1178044</v>
      </c>
      <c r="L90" s="145">
        <f t="shared" si="4"/>
        <v>-0.63968540382569716</v>
      </c>
      <c r="M90" s="453"/>
      <c r="Q90" s="465"/>
      <c r="R90" s="465"/>
      <c r="S90" s="465"/>
      <c r="T90" s="465"/>
    </row>
    <row r="91" spans="1:20" s="448" customFormat="1" ht="5.45" customHeight="1" thickBot="1">
      <c r="A91" s="516"/>
      <c r="B91" s="506"/>
      <c r="C91" s="506"/>
      <c r="D91" s="506"/>
      <c r="E91" s="506"/>
      <c r="F91" s="506"/>
      <c r="G91" s="506"/>
      <c r="H91" s="506"/>
      <c r="I91" s="517"/>
      <c r="J91" s="517"/>
      <c r="K91" s="518"/>
      <c r="L91" s="458"/>
      <c r="M91" s="453"/>
      <c r="Q91" s="465"/>
      <c r="R91" s="465"/>
      <c r="S91" s="465"/>
      <c r="T91" s="465"/>
    </row>
    <row r="92" spans="1:20" s="448" customFormat="1" ht="12" thickBot="1">
      <c r="A92" s="842" t="s">
        <v>2763</v>
      </c>
      <c r="B92" s="843"/>
      <c r="C92" s="843"/>
      <c r="D92" s="843"/>
      <c r="E92" s="843"/>
      <c r="F92" s="843"/>
      <c r="G92" s="843"/>
      <c r="H92" s="843"/>
      <c r="I92" s="519">
        <f>I37+I86+I90</f>
        <v>243721456</v>
      </c>
      <c r="J92" s="519">
        <f>J37+J86+J90</f>
        <v>249702443</v>
      </c>
      <c r="K92" s="520">
        <f>+I92-J92</f>
        <v>-5980987</v>
      </c>
      <c r="L92" s="146">
        <f t="shared" si="4"/>
        <v>-2.3952456884853146E-2</v>
      </c>
      <c r="M92" s="453"/>
      <c r="N92" s="453"/>
      <c r="Q92" s="465"/>
      <c r="R92" s="465"/>
      <c r="S92" s="465"/>
      <c r="T92" s="465"/>
    </row>
    <row r="93" spans="1:20" s="448" customFormat="1" ht="11.25">
      <c r="A93" s="490" t="s">
        <v>92</v>
      </c>
      <c r="B93" s="491" t="s">
        <v>2764</v>
      </c>
      <c r="C93" s="492"/>
      <c r="D93" s="492"/>
      <c r="E93" s="492"/>
      <c r="F93" s="442"/>
      <c r="G93" s="492"/>
      <c r="H93" s="513"/>
      <c r="I93" s="514"/>
      <c r="J93" s="514"/>
      <c r="K93" s="518"/>
      <c r="L93" s="458"/>
      <c r="M93" s="453"/>
      <c r="Q93" s="465"/>
      <c r="R93" s="465"/>
      <c r="S93" s="465"/>
      <c r="T93" s="465"/>
    </row>
    <row r="94" spans="1:20" s="448" customFormat="1" ht="11.25">
      <c r="A94" s="490"/>
      <c r="B94" s="494" t="s">
        <v>2765</v>
      </c>
      <c r="C94" s="521" t="s">
        <v>2766</v>
      </c>
      <c r="D94" s="494"/>
      <c r="E94" s="494"/>
      <c r="F94" s="500"/>
      <c r="G94" s="492"/>
      <c r="H94" s="513"/>
      <c r="I94" s="504">
        <f>+ROUND('SP Min'!D209,0)</f>
        <v>0</v>
      </c>
      <c r="J94" s="504">
        <f>+ROUND('SP Min'!E209,0)</f>
        <v>0</v>
      </c>
      <c r="K94" s="452">
        <f>+I94-J94</f>
        <v>0</v>
      </c>
      <c r="L94" s="447" t="str">
        <f t="shared" si="4"/>
        <v xml:space="preserve">-    </v>
      </c>
      <c r="M94" s="453"/>
      <c r="Q94" s="465"/>
      <c r="R94" s="465"/>
      <c r="S94" s="465"/>
      <c r="T94" s="465"/>
    </row>
    <row r="95" spans="1:20" s="448" customFormat="1" ht="11.25">
      <c r="A95" s="490"/>
      <c r="B95" s="494" t="s">
        <v>88</v>
      </c>
      <c r="C95" s="500" t="s">
        <v>2767</v>
      </c>
      <c r="D95" s="494"/>
      <c r="E95" s="494"/>
      <c r="F95" s="461"/>
      <c r="G95" s="492"/>
      <c r="H95" s="513"/>
      <c r="I95" s="504">
        <f>+ROUND('SP Min'!D210,0)</f>
        <v>0</v>
      </c>
      <c r="J95" s="504">
        <f>+ROUND('SP Min'!E210,0)</f>
        <v>0</v>
      </c>
      <c r="K95" s="452">
        <f t="shared" ref="K95:K98" si="7">+I95-J95</f>
        <v>0</v>
      </c>
      <c r="L95" s="447" t="str">
        <f t="shared" si="4"/>
        <v xml:space="preserve">-    </v>
      </c>
      <c r="M95" s="453"/>
      <c r="Q95" s="465"/>
      <c r="R95" s="465"/>
      <c r="S95" s="465"/>
      <c r="T95" s="465"/>
    </row>
    <row r="96" spans="1:20" s="448" customFormat="1" ht="11.25">
      <c r="A96" s="490"/>
      <c r="B96" s="500" t="s">
        <v>116</v>
      </c>
      <c r="C96" s="494" t="s">
        <v>2768</v>
      </c>
      <c r="D96" s="494"/>
      <c r="E96" s="494"/>
      <c r="F96" s="461"/>
      <c r="G96" s="492"/>
      <c r="H96" s="513"/>
      <c r="I96" s="504">
        <f>+ROUND('SP Min'!D211,0)</f>
        <v>347397</v>
      </c>
      <c r="J96" s="504">
        <f>+ROUND('SP Min'!E211,0)</f>
        <v>347397</v>
      </c>
      <c r="K96" s="452">
        <f t="shared" si="7"/>
        <v>0</v>
      </c>
      <c r="L96" s="447">
        <f t="shared" si="4"/>
        <v>0</v>
      </c>
      <c r="M96" s="453"/>
      <c r="Q96" s="465"/>
      <c r="R96" s="465"/>
      <c r="S96" s="465"/>
      <c r="T96" s="465"/>
    </row>
    <row r="97" spans="1:20" s="448" customFormat="1" ht="11.25">
      <c r="A97" s="490"/>
      <c r="B97" s="494" t="s">
        <v>2671</v>
      </c>
      <c r="C97" s="521" t="s">
        <v>2769</v>
      </c>
      <c r="D97" s="494"/>
      <c r="E97" s="494"/>
      <c r="F97" s="500"/>
      <c r="G97" s="515"/>
      <c r="H97" s="513"/>
      <c r="I97" s="504">
        <f>+ROUND('SP Min'!D212+'SP Min'!D213,0)</f>
        <v>0</v>
      </c>
      <c r="J97" s="504">
        <f>+ROUND('SP Min'!E212+'SP Min'!E213,0)</f>
        <v>0</v>
      </c>
      <c r="K97" s="452">
        <f t="shared" si="7"/>
        <v>0</v>
      </c>
      <c r="L97" s="447" t="str">
        <f t="shared" si="4"/>
        <v xml:space="preserve">-    </v>
      </c>
      <c r="M97" s="453"/>
      <c r="Q97" s="465"/>
      <c r="R97" s="465"/>
      <c r="S97" s="465"/>
      <c r="T97" s="465"/>
    </row>
    <row r="98" spans="1:20" s="448" customFormat="1" ht="12" thickBot="1">
      <c r="A98" s="868" t="s">
        <v>2770</v>
      </c>
      <c r="B98" s="869"/>
      <c r="C98" s="869"/>
      <c r="D98" s="869"/>
      <c r="E98" s="869"/>
      <c r="F98" s="869"/>
      <c r="G98" s="870"/>
      <c r="H98" s="871"/>
      <c r="I98" s="522">
        <f>SUM(I94:I97)</f>
        <v>347397</v>
      </c>
      <c r="J98" s="522">
        <f>SUM(J94:J97)</f>
        <v>347397</v>
      </c>
      <c r="K98" s="523">
        <f t="shared" si="7"/>
        <v>0</v>
      </c>
      <c r="L98" s="524">
        <f t="shared" si="4"/>
        <v>0</v>
      </c>
      <c r="M98" s="453"/>
      <c r="N98" s="453"/>
      <c r="Q98" s="465"/>
      <c r="R98" s="465"/>
      <c r="S98" s="465"/>
      <c r="T98" s="465"/>
    </row>
    <row r="99" spans="1:20" s="459" customFormat="1" ht="11.25">
      <c r="A99" s="450"/>
      <c r="B99" s="450"/>
      <c r="C99" s="450"/>
      <c r="D99" s="450"/>
      <c r="E99" s="450"/>
      <c r="F99" s="450"/>
      <c r="G99" s="450"/>
      <c r="H99" s="450"/>
      <c r="I99" s="525"/>
      <c r="J99" s="526"/>
      <c r="K99" s="163"/>
      <c r="L99" s="527"/>
      <c r="M99" s="453"/>
      <c r="Q99" s="463"/>
      <c r="R99" s="463"/>
      <c r="S99" s="463"/>
      <c r="T99" s="463"/>
    </row>
    <row r="100" spans="1:20" s="459" customFormat="1" ht="12" thickBot="1">
      <c r="A100" s="528"/>
      <c r="B100" s="528"/>
      <c r="C100" s="528"/>
      <c r="D100" s="528"/>
      <c r="E100" s="528"/>
      <c r="F100" s="496"/>
      <c r="G100" s="529"/>
      <c r="H100" s="529"/>
      <c r="I100" s="425"/>
      <c r="J100" s="425"/>
      <c r="K100" s="529"/>
      <c r="L100" s="530"/>
      <c r="M100" s="453"/>
      <c r="Q100" s="463"/>
      <c r="R100" s="463"/>
      <c r="S100" s="463"/>
      <c r="T100" s="463"/>
    </row>
    <row r="101" spans="1:20" ht="32.25" customHeight="1" thickBot="1">
      <c r="A101" s="872" t="s">
        <v>2771</v>
      </c>
      <c r="B101" s="873"/>
      <c r="C101" s="873"/>
      <c r="D101" s="873"/>
      <c r="E101" s="873"/>
      <c r="F101" s="873"/>
      <c r="G101" s="873"/>
      <c r="H101" s="873"/>
      <c r="I101" s="873"/>
      <c r="J101" s="873"/>
      <c r="K101" s="846" t="s">
        <v>2772</v>
      </c>
      <c r="L101" s="847"/>
      <c r="M101" s="453"/>
    </row>
    <row r="102" spans="1:20" ht="13.5" thickBot="1">
      <c r="A102" s="531"/>
      <c r="B102" s="531"/>
      <c r="C102" s="531"/>
      <c r="D102" s="531"/>
      <c r="E102" s="531"/>
      <c r="F102" s="532"/>
      <c r="G102" s="529"/>
      <c r="H102" s="529"/>
      <c r="I102" s="425"/>
      <c r="J102" s="426"/>
      <c r="K102" s="427"/>
      <c r="L102" s="428"/>
      <c r="M102" s="453"/>
    </row>
    <row r="103" spans="1:20" ht="13.15" customHeight="1">
      <c r="A103" s="874" t="s">
        <v>1823</v>
      </c>
      <c r="B103" s="875"/>
      <c r="C103" s="875"/>
      <c r="D103" s="875"/>
      <c r="E103" s="875"/>
      <c r="F103" s="875"/>
      <c r="G103" s="875"/>
      <c r="H103" s="875"/>
      <c r="I103" s="853" t="s">
        <v>3896</v>
      </c>
      <c r="J103" s="853" t="s">
        <v>2664</v>
      </c>
      <c r="K103" s="855" t="s">
        <v>3901</v>
      </c>
      <c r="L103" s="856"/>
      <c r="M103" s="453"/>
    </row>
    <row r="104" spans="1:20" ht="39.75" customHeight="1">
      <c r="A104" s="876"/>
      <c r="B104" s="877"/>
      <c r="C104" s="877"/>
      <c r="D104" s="877"/>
      <c r="E104" s="877"/>
      <c r="F104" s="877"/>
      <c r="G104" s="878"/>
      <c r="H104" s="877"/>
      <c r="I104" s="854"/>
      <c r="J104" s="854"/>
      <c r="K104" s="429" t="s">
        <v>2</v>
      </c>
      <c r="L104" s="430" t="s">
        <v>3</v>
      </c>
      <c r="M104" s="453"/>
    </row>
    <row r="105" spans="1:20" s="459" customFormat="1" ht="11.25">
      <c r="A105" s="533"/>
      <c r="B105" s="534"/>
      <c r="C105" s="534"/>
      <c r="D105" s="534"/>
      <c r="E105" s="534"/>
      <c r="F105" s="535"/>
      <c r="G105" s="536"/>
      <c r="H105" s="537"/>
      <c r="I105" s="538"/>
      <c r="J105" s="539"/>
      <c r="K105" s="540"/>
      <c r="L105" s="541"/>
      <c r="M105" s="453"/>
      <c r="Q105" s="463"/>
      <c r="R105" s="463"/>
      <c r="S105" s="463"/>
      <c r="T105" s="463"/>
    </row>
    <row r="106" spans="1:20" s="448" customFormat="1" ht="11.25">
      <c r="A106" s="439" t="s">
        <v>4</v>
      </c>
      <c r="B106" s="166" t="s">
        <v>2773</v>
      </c>
      <c r="C106" s="441"/>
      <c r="D106" s="441"/>
      <c r="E106" s="441"/>
      <c r="F106" s="442"/>
      <c r="G106" s="443"/>
      <c r="H106" s="178"/>
      <c r="I106" s="542"/>
      <c r="J106" s="507"/>
      <c r="K106" s="182"/>
      <c r="L106" s="543"/>
      <c r="M106" s="453"/>
      <c r="Q106" s="465"/>
      <c r="R106" s="465"/>
      <c r="S106" s="465"/>
      <c r="T106" s="465"/>
    </row>
    <row r="107" spans="1:20" s="448" customFormat="1" ht="11.25">
      <c r="A107" s="439"/>
      <c r="B107" s="441"/>
      <c r="C107" s="441"/>
      <c r="D107" s="441"/>
      <c r="E107" s="441"/>
      <c r="F107" s="450"/>
      <c r="G107" s="443"/>
      <c r="H107" s="178"/>
      <c r="I107" s="542"/>
      <c r="J107" s="507"/>
      <c r="K107" s="452"/>
      <c r="L107" s="543"/>
      <c r="M107" s="453"/>
      <c r="Q107" s="465"/>
      <c r="R107" s="465"/>
      <c r="S107" s="465"/>
      <c r="T107" s="465"/>
    </row>
    <row r="108" spans="1:20" s="448" customFormat="1" ht="11.25">
      <c r="A108" s="449"/>
      <c r="B108" s="441" t="s">
        <v>2666</v>
      </c>
      <c r="C108" s="450" t="s">
        <v>2774</v>
      </c>
      <c r="D108" s="441"/>
      <c r="E108" s="441"/>
      <c r="F108" s="442"/>
      <c r="G108" s="443"/>
      <c r="H108" s="178"/>
      <c r="I108" s="507">
        <f>+ROUND('SP Min'!D215,0)</f>
        <v>0</v>
      </c>
      <c r="J108" s="507">
        <f>+ROUND('SP Min'!E215,0)</f>
        <v>0</v>
      </c>
      <c r="K108" s="518">
        <f>+I108-J108</f>
        <v>0</v>
      </c>
      <c r="L108" s="458" t="str">
        <f t="shared" ref="L108:L167" si="8">IF(J108=0,"-    ",K108/J108)</f>
        <v xml:space="preserve">-    </v>
      </c>
      <c r="M108" s="453"/>
      <c r="N108" s="544"/>
      <c r="Q108" s="465"/>
      <c r="R108" s="465"/>
      <c r="S108" s="465"/>
      <c r="T108" s="465"/>
    </row>
    <row r="109" spans="1:20" s="448" customFormat="1" ht="11.25">
      <c r="A109" s="449"/>
      <c r="B109" s="441" t="s">
        <v>2675</v>
      </c>
      <c r="C109" s="545" t="s">
        <v>2775</v>
      </c>
      <c r="D109" s="441"/>
      <c r="E109" s="441"/>
      <c r="F109" s="546"/>
      <c r="G109" s="443"/>
      <c r="H109" s="178"/>
      <c r="I109" s="451">
        <f>I110+I111+SUM(I115:I117)</f>
        <v>12693434</v>
      </c>
      <c r="J109" s="507">
        <f>J110+J111+SUM(J115:J117)</f>
        <v>808959</v>
      </c>
      <c r="K109" s="518">
        <f>+I109-J109</f>
        <v>11884475</v>
      </c>
      <c r="L109" s="458">
        <f t="shared" si="8"/>
        <v>14.691072106250131</v>
      </c>
      <c r="M109" s="453"/>
      <c r="Q109" s="465"/>
      <c r="R109" s="465"/>
      <c r="S109" s="465"/>
      <c r="T109" s="465"/>
    </row>
    <row r="110" spans="1:20" s="459" customFormat="1" ht="11.25">
      <c r="A110" s="460"/>
      <c r="B110" s="441"/>
      <c r="C110" s="494" t="s">
        <v>86</v>
      </c>
      <c r="D110" s="494" t="s">
        <v>2776</v>
      </c>
      <c r="E110" s="492"/>
      <c r="F110" s="455"/>
      <c r="G110" s="456"/>
      <c r="H110" s="177"/>
      <c r="I110" s="462">
        <f>+ROUND('SP Min'!D217,0)</f>
        <v>0</v>
      </c>
      <c r="J110" s="504">
        <f>+ROUND('SP Min'!E217,0)</f>
        <v>0</v>
      </c>
      <c r="K110" s="518">
        <f t="shared" ref="K110:K167" si="9">+I110-J110</f>
        <v>0</v>
      </c>
      <c r="L110" s="458" t="str">
        <f t="shared" si="8"/>
        <v xml:space="preserve">-    </v>
      </c>
      <c r="M110" s="453"/>
      <c r="Q110" s="463"/>
      <c r="R110" s="463"/>
      <c r="S110" s="463"/>
      <c r="T110" s="463"/>
    </row>
    <row r="111" spans="1:20" s="459" customFormat="1" ht="11.25">
      <c r="A111" s="460"/>
      <c r="B111" s="441"/>
      <c r="C111" s="494" t="s">
        <v>88</v>
      </c>
      <c r="D111" s="494" t="s">
        <v>2777</v>
      </c>
      <c r="E111" s="492"/>
      <c r="F111" s="455"/>
      <c r="G111" s="456"/>
      <c r="H111" s="177"/>
      <c r="I111" s="462">
        <f>SUM(I112:I114)</f>
        <v>0</v>
      </c>
      <c r="J111" s="504">
        <f>SUM(J112:J114)</f>
        <v>0</v>
      </c>
      <c r="K111" s="518">
        <f t="shared" si="9"/>
        <v>0</v>
      </c>
      <c r="L111" s="458" t="str">
        <f t="shared" si="8"/>
        <v xml:space="preserve">-    </v>
      </c>
      <c r="M111" s="453"/>
      <c r="Q111" s="463"/>
      <c r="R111" s="463"/>
      <c r="S111" s="463"/>
      <c r="T111" s="463"/>
    </row>
    <row r="112" spans="1:20" s="459" customFormat="1" ht="11.25">
      <c r="A112" s="460"/>
      <c r="B112" s="492"/>
      <c r="C112" s="494"/>
      <c r="D112" s="498" t="s">
        <v>2778</v>
      </c>
      <c r="E112" s="498" t="s">
        <v>2779</v>
      </c>
      <c r="F112" s="500"/>
      <c r="G112" s="494"/>
      <c r="H112" s="494"/>
      <c r="I112" s="462">
        <f>+ROUND('SP Min'!D219,0)</f>
        <v>0</v>
      </c>
      <c r="J112" s="504">
        <f>+ROUND('SP Min'!E219,0)</f>
        <v>0</v>
      </c>
      <c r="K112" s="518">
        <f t="shared" si="9"/>
        <v>0</v>
      </c>
      <c r="L112" s="458" t="str">
        <f t="shared" si="8"/>
        <v xml:space="preserve">-    </v>
      </c>
      <c r="M112" s="453"/>
      <c r="Q112" s="463"/>
      <c r="R112" s="463"/>
      <c r="S112" s="463"/>
      <c r="T112" s="463"/>
    </row>
    <row r="113" spans="1:20" s="459" customFormat="1" ht="11.25">
      <c r="A113" s="460"/>
      <c r="B113" s="492"/>
      <c r="C113" s="494"/>
      <c r="D113" s="498" t="s">
        <v>2680</v>
      </c>
      <c r="E113" s="498" t="s">
        <v>2780</v>
      </c>
      <c r="F113" s="500"/>
      <c r="G113" s="494"/>
      <c r="H113" s="494"/>
      <c r="I113" s="462">
        <f>+ROUND('SP Min'!D220,0)</f>
        <v>0</v>
      </c>
      <c r="J113" s="504">
        <f>+ROUND('SP Min'!E220,0)</f>
        <v>0</v>
      </c>
      <c r="K113" s="518">
        <f t="shared" si="9"/>
        <v>0</v>
      </c>
      <c r="L113" s="458" t="str">
        <f t="shared" si="8"/>
        <v xml:space="preserve">-    </v>
      </c>
      <c r="M113" s="453"/>
      <c r="Q113" s="463"/>
      <c r="R113" s="463"/>
      <c r="S113" s="463"/>
      <c r="T113" s="463"/>
    </row>
    <row r="114" spans="1:20" s="459" customFormat="1" ht="11.25">
      <c r="A114" s="460"/>
      <c r="B114" s="492"/>
      <c r="C114" s="494"/>
      <c r="D114" s="498" t="s">
        <v>2781</v>
      </c>
      <c r="E114" s="498" t="s">
        <v>2782</v>
      </c>
      <c r="F114" s="500"/>
      <c r="G114" s="494"/>
      <c r="H114" s="494"/>
      <c r="I114" s="462">
        <f>+ROUND('SP Min'!D221,0)</f>
        <v>0</v>
      </c>
      <c r="J114" s="504">
        <f>+ROUND('SP Min'!E221,0)</f>
        <v>0</v>
      </c>
      <c r="K114" s="518">
        <f t="shared" si="9"/>
        <v>0</v>
      </c>
      <c r="L114" s="458" t="str">
        <f t="shared" si="8"/>
        <v xml:space="preserve">-    </v>
      </c>
      <c r="M114" s="453"/>
      <c r="Q114" s="463"/>
      <c r="R114" s="463"/>
      <c r="S114" s="463"/>
      <c r="T114" s="463"/>
    </row>
    <row r="115" spans="1:20" s="459" customFormat="1" ht="11.25">
      <c r="A115" s="460"/>
      <c r="B115" s="492"/>
      <c r="C115" s="475" t="s">
        <v>116</v>
      </c>
      <c r="D115" s="475" t="s">
        <v>2783</v>
      </c>
      <c r="E115" s="494"/>
      <c r="F115" s="500"/>
      <c r="G115" s="494"/>
      <c r="H115" s="494"/>
      <c r="I115" s="462">
        <f>+ROUND('SP Min'!D222,0)</f>
        <v>12691552</v>
      </c>
      <c r="J115" s="504">
        <f>+ROUND('SP Min'!E222,0)</f>
        <v>807077</v>
      </c>
      <c r="K115" s="518">
        <f t="shared" si="9"/>
        <v>11884475</v>
      </c>
      <c r="L115" s="458">
        <f t="shared" si="8"/>
        <v>14.72532980124573</v>
      </c>
      <c r="M115" s="453"/>
      <c r="Q115" s="463"/>
      <c r="R115" s="463"/>
      <c r="S115" s="463"/>
      <c r="T115" s="463"/>
    </row>
    <row r="116" spans="1:20" s="459" customFormat="1" ht="11.25">
      <c r="A116" s="460"/>
      <c r="B116" s="492"/>
      <c r="C116" s="475" t="s">
        <v>2671</v>
      </c>
      <c r="D116" s="475" t="s">
        <v>2784</v>
      </c>
      <c r="E116" s="494"/>
      <c r="F116" s="500"/>
      <c r="G116" s="494"/>
      <c r="H116" s="494"/>
      <c r="I116" s="462">
        <f>+ROUND('SP Min'!D223,0)</f>
        <v>1882</v>
      </c>
      <c r="J116" s="504">
        <f>+ROUND('SP Min'!E223,0)</f>
        <v>1882</v>
      </c>
      <c r="K116" s="518">
        <f t="shared" si="9"/>
        <v>0</v>
      </c>
      <c r="L116" s="458">
        <f t="shared" si="8"/>
        <v>0</v>
      </c>
      <c r="M116" s="453"/>
      <c r="Q116" s="463"/>
      <c r="R116" s="463"/>
      <c r="S116" s="463"/>
      <c r="T116" s="463"/>
    </row>
    <row r="117" spans="1:20" s="459" customFormat="1" ht="11.25">
      <c r="A117" s="460"/>
      <c r="B117" s="441"/>
      <c r="C117" s="475" t="s">
        <v>2673</v>
      </c>
      <c r="D117" s="475" t="s">
        <v>2785</v>
      </c>
      <c r="E117" s="441"/>
      <c r="F117" s="455"/>
      <c r="G117" s="456"/>
      <c r="H117" s="177"/>
      <c r="I117" s="462">
        <f>+ROUND('SP Min'!D224,0)</f>
        <v>0</v>
      </c>
      <c r="J117" s="504">
        <f>+ROUND('SP Min'!E224,0)</f>
        <v>0</v>
      </c>
      <c r="K117" s="518">
        <f t="shared" si="9"/>
        <v>0</v>
      </c>
      <c r="L117" s="458" t="str">
        <f t="shared" si="8"/>
        <v xml:space="preserve">-    </v>
      </c>
      <c r="M117" s="453"/>
      <c r="Q117" s="463"/>
      <c r="R117" s="463"/>
      <c r="S117" s="463"/>
      <c r="T117" s="463"/>
    </row>
    <row r="118" spans="1:20" s="448" customFormat="1" ht="11.25">
      <c r="A118" s="449"/>
      <c r="B118" s="545" t="s">
        <v>2698</v>
      </c>
      <c r="C118" s="545" t="s">
        <v>2786</v>
      </c>
      <c r="D118" s="441"/>
      <c r="E118" s="441"/>
      <c r="F118" s="546"/>
      <c r="G118" s="443"/>
      <c r="H118" s="178"/>
      <c r="I118" s="451">
        <f>+ROUND('SP Min'!D225,0)</f>
        <v>0</v>
      </c>
      <c r="J118" s="507">
        <f>+ROUND('SP Min'!E225,0)</f>
        <v>0</v>
      </c>
      <c r="K118" s="518">
        <f t="shared" si="9"/>
        <v>0</v>
      </c>
      <c r="L118" s="458" t="str">
        <f t="shared" si="8"/>
        <v xml:space="preserve">-    </v>
      </c>
      <c r="M118" s="453"/>
      <c r="Q118" s="465"/>
      <c r="R118" s="465"/>
      <c r="S118" s="465"/>
      <c r="T118" s="465"/>
    </row>
    <row r="119" spans="1:20" s="448" customFormat="1" ht="11.25">
      <c r="A119" s="449"/>
      <c r="B119" s="545" t="s">
        <v>2752</v>
      </c>
      <c r="C119" s="450" t="s">
        <v>2787</v>
      </c>
      <c r="D119" s="441"/>
      <c r="E119" s="441"/>
      <c r="F119" s="546"/>
      <c r="G119" s="443"/>
      <c r="H119" s="178"/>
      <c r="I119" s="451">
        <f>+ROUND('SP Min'!D226,0)</f>
        <v>6531698</v>
      </c>
      <c r="J119" s="451">
        <f>+ROUND('SP Min'!E226,0)</f>
        <v>3656737</v>
      </c>
      <c r="K119" s="518">
        <f t="shared" si="9"/>
        <v>2874961</v>
      </c>
      <c r="L119" s="458">
        <f t="shared" si="8"/>
        <v>0.78620939925403444</v>
      </c>
      <c r="M119" s="453"/>
      <c r="Q119" s="465"/>
      <c r="R119" s="465"/>
      <c r="S119" s="465"/>
      <c r="T119" s="465"/>
    </row>
    <row r="120" spans="1:20" s="448" customFormat="1" ht="11.25">
      <c r="A120" s="449"/>
      <c r="B120" s="545" t="s">
        <v>2788</v>
      </c>
      <c r="C120" s="450" t="s">
        <v>2789</v>
      </c>
      <c r="D120" s="441"/>
      <c r="E120" s="441"/>
      <c r="F120" s="442"/>
      <c r="G120" s="443"/>
      <c r="H120" s="178"/>
      <c r="I120" s="507">
        <f>+ROUND('SP Min'!D232,0)</f>
        <v>0</v>
      </c>
      <c r="J120" s="507">
        <f>+ROUND('SP Min'!E232,0)</f>
        <v>0</v>
      </c>
      <c r="K120" s="518">
        <f t="shared" si="9"/>
        <v>0</v>
      </c>
      <c r="L120" s="458" t="str">
        <f t="shared" si="8"/>
        <v xml:space="preserve">-    </v>
      </c>
      <c r="M120" s="453"/>
      <c r="Q120" s="465"/>
      <c r="R120" s="465"/>
      <c r="S120" s="465"/>
      <c r="T120" s="465"/>
    </row>
    <row r="121" spans="1:20" s="448" customFormat="1" ht="11.25">
      <c r="A121" s="449"/>
      <c r="B121" s="545" t="s">
        <v>2790</v>
      </c>
      <c r="C121" s="450" t="s">
        <v>2791</v>
      </c>
      <c r="D121" s="441"/>
      <c r="E121" s="441"/>
      <c r="F121" s="546"/>
      <c r="G121" s="443"/>
      <c r="H121" s="178"/>
      <c r="I121" s="507">
        <f>+ROUND('SP Min'!D236,0)</f>
        <v>0</v>
      </c>
      <c r="J121" s="507">
        <f>+ROUND('SP Min'!E236,0)</f>
        <v>0</v>
      </c>
      <c r="K121" s="518">
        <f t="shared" si="9"/>
        <v>0</v>
      </c>
      <c r="L121" s="458" t="str">
        <f t="shared" si="8"/>
        <v xml:space="preserve">-    </v>
      </c>
      <c r="M121" s="453"/>
      <c r="Q121" s="465"/>
      <c r="R121" s="465"/>
      <c r="S121" s="465"/>
      <c r="T121" s="465"/>
    </row>
    <row r="122" spans="1:20" s="448" customFormat="1" ht="11.25">
      <c r="A122" s="449"/>
      <c r="B122" s="545" t="s">
        <v>2792</v>
      </c>
      <c r="C122" s="450" t="s">
        <v>2793</v>
      </c>
      <c r="D122" s="441"/>
      <c r="E122" s="441"/>
      <c r="F122" s="546"/>
      <c r="G122" s="443"/>
      <c r="H122" s="178"/>
      <c r="I122" s="507">
        <f>'Schema CE'!D120</f>
        <v>959357</v>
      </c>
      <c r="J122" s="507">
        <f>'Schema CE'!E120</f>
        <v>2874961</v>
      </c>
      <c r="K122" s="518">
        <f t="shared" si="9"/>
        <v>-1915604</v>
      </c>
      <c r="L122" s="547">
        <f t="shared" si="8"/>
        <v>-0.66630608206511321</v>
      </c>
      <c r="M122" s="453"/>
      <c r="Q122" s="465"/>
      <c r="R122" s="465"/>
      <c r="S122" s="465"/>
      <c r="T122" s="465"/>
    </row>
    <row r="123" spans="1:20" s="448" customFormat="1" ht="11.25">
      <c r="A123" s="859" t="s">
        <v>2710</v>
      </c>
      <c r="B123" s="860"/>
      <c r="C123" s="860"/>
      <c r="D123" s="860"/>
      <c r="E123" s="860"/>
      <c r="F123" s="860"/>
      <c r="G123" s="879"/>
      <c r="H123" s="860"/>
      <c r="I123" s="484">
        <f>I108+I109+SUM(I118:I122)</f>
        <v>20184489</v>
      </c>
      <c r="J123" s="484">
        <f>J108+J109+SUM(J118:J122)</f>
        <v>7340657</v>
      </c>
      <c r="K123" s="548">
        <f t="shared" si="9"/>
        <v>12843832</v>
      </c>
      <c r="L123" s="145">
        <f t="shared" si="8"/>
        <v>1.7496842585071064</v>
      </c>
      <c r="M123" s="453"/>
      <c r="Q123" s="465"/>
      <c r="R123" s="465"/>
      <c r="S123" s="465"/>
      <c r="T123" s="465"/>
    </row>
    <row r="124" spans="1:20" s="448" customFormat="1" ht="11.25">
      <c r="A124" s="549" t="s">
        <v>33</v>
      </c>
      <c r="B124" s="166" t="s">
        <v>2794</v>
      </c>
      <c r="C124" s="545"/>
      <c r="D124" s="441"/>
      <c r="E124" s="441"/>
      <c r="F124" s="442"/>
      <c r="G124" s="550"/>
      <c r="H124" s="178"/>
      <c r="I124" s="487"/>
      <c r="J124" s="487"/>
      <c r="K124" s="452">
        <f t="shared" si="9"/>
        <v>0</v>
      </c>
      <c r="L124" s="154" t="str">
        <f t="shared" si="8"/>
        <v xml:space="preserve">-    </v>
      </c>
      <c r="M124" s="453"/>
      <c r="Q124" s="465"/>
      <c r="R124" s="465"/>
      <c r="S124" s="465"/>
      <c r="T124" s="465"/>
    </row>
    <row r="125" spans="1:20" s="448" customFormat="1" ht="11.25">
      <c r="A125" s="549"/>
      <c r="B125" s="545" t="s">
        <v>86</v>
      </c>
      <c r="C125" s="166" t="s">
        <v>2795</v>
      </c>
      <c r="D125" s="441"/>
      <c r="E125" s="441"/>
      <c r="F125" s="442"/>
      <c r="G125" s="443"/>
      <c r="H125" s="178"/>
      <c r="I125" s="507">
        <f>+ROUND('SP Min'!D239,0)</f>
        <v>0</v>
      </c>
      <c r="J125" s="507">
        <f>+ROUND('SP Min'!E239,0)</f>
        <v>0</v>
      </c>
      <c r="K125" s="518">
        <f t="shared" si="9"/>
        <v>0</v>
      </c>
      <c r="L125" s="458" t="str">
        <f t="shared" si="8"/>
        <v xml:space="preserve">-    </v>
      </c>
      <c r="M125" s="453"/>
      <c r="Q125" s="465"/>
      <c r="R125" s="465"/>
      <c r="S125" s="465"/>
      <c r="T125" s="465"/>
    </row>
    <row r="126" spans="1:20" s="448" customFormat="1" ht="11.25">
      <c r="A126" s="549"/>
      <c r="B126" s="545" t="s">
        <v>88</v>
      </c>
      <c r="C126" s="166" t="s">
        <v>2796</v>
      </c>
      <c r="D126" s="441"/>
      <c r="E126" s="441"/>
      <c r="F126" s="450"/>
      <c r="G126" s="443"/>
      <c r="H126" s="178"/>
      <c r="I126" s="507">
        <f>+ROUND('SP Min'!D240,0)</f>
        <v>47327221</v>
      </c>
      <c r="J126" s="507">
        <f>+ROUND('SP Min'!E240,0)</f>
        <v>50103982</v>
      </c>
      <c r="K126" s="518">
        <f t="shared" si="9"/>
        <v>-2776761</v>
      </c>
      <c r="L126" s="458">
        <f t="shared" si="8"/>
        <v>-5.5419966421032162E-2</v>
      </c>
      <c r="M126" s="453"/>
      <c r="Q126" s="465"/>
      <c r="R126" s="465"/>
      <c r="S126" s="465"/>
      <c r="T126" s="465"/>
    </row>
    <row r="127" spans="1:20" s="448" customFormat="1" ht="11.25">
      <c r="A127" s="549"/>
      <c r="B127" s="545" t="s">
        <v>116</v>
      </c>
      <c r="C127" s="166" t="s">
        <v>2797</v>
      </c>
      <c r="D127" s="441"/>
      <c r="E127" s="441"/>
      <c r="F127" s="442"/>
      <c r="G127" s="443"/>
      <c r="H127" s="178"/>
      <c r="I127" s="507">
        <f>+ROUND('SP Min'!D248,0)</f>
        <v>0</v>
      </c>
      <c r="J127" s="507">
        <f>+ROUND('SP Min'!E248,0)</f>
        <v>0</v>
      </c>
      <c r="K127" s="518">
        <f t="shared" si="9"/>
        <v>0</v>
      </c>
      <c r="L127" s="458" t="str">
        <f t="shared" si="8"/>
        <v xml:space="preserve">-    </v>
      </c>
      <c r="M127" s="453"/>
      <c r="Q127" s="465"/>
      <c r="R127" s="465"/>
      <c r="S127" s="465"/>
      <c r="T127" s="465"/>
    </row>
    <row r="128" spans="1:20" s="448" customFormat="1" ht="11.25">
      <c r="A128" s="549"/>
      <c r="B128" s="545" t="s">
        <v>2671</v>
      </c>
      <c r="C128" s="545" t="s">
        <v>2798</v>
      </c>
      <c r="D128" s="441"/>
      <c r="E128" s="441"/>
      <c r="F128" s="450"/>
      <c r="G128" s="443"/>
      <c r="H128" s="178"/>
      <c r="I128" s="451">
        <f>+ROUND('SP Min'!D257,0)</f>
        <v>38325656</v>
      </c>
      <c r="J128" s="507">
        <f>+ROUND('SP Min'!E257,0)</f>
        <v>19161980</v>
      </c>
      <c r="K128" s="518">
        <f t="shared" si="9"/>
        <v>19163676</v>
      </c>
      <c r="L128" s="458">
        <f t="shared" si="8"/>
        <v>1.0000885085987983</v>
      </c>
      <c r="M128" s="453"/>
      <c r="Q128" s="465"/>
      <c r="R128" s="465"/>
      <c r="S128" s="465"/>
      <c r="T128" s="465"/>
    </row>
    <row r="129" spans="1:20" s="448" customFormat="1" ht="11.25">
      <c r="A129" s="549"/>
      <c r="B129" s="545" t="s">
        <v>2673</v>
      </c>
      <c r="C129" s="545" t="s">
        <v>2799</v>
      </c>
      <c r="D129" s="441"/>
      <c r="E129" s="441"/>
      <c r="F129" s="450"/>
      <c r="G129" s="551"/>
      <c r="H129" s="178"/>
      <c r="I129" s="451">
        <f>+ROUND('SP Min'!D263,0)</f>
        <v>2996802</v>
      </c>
      <c r="J129" s="507">
        <f>+ROUND('SP Min'!E263,0)</f>
        <v>2948558</v>
      </c>
      <c r="K129" s="518">
        <f t="shared" si="9"/>
        <v>48244</v>
      </c>
      <c r="L129" s="458">
        <f t="shared" si="8"/>
        <v>1.6361896221814189E-2</v>
      </c>
      <c r="M129" s="453"/>
      <c r="Q129" s="465"/>
      <c r="R129" s="465"/>
      <c r="S129" s="465"/>
      <c r="T129" s="465"/>
    </row>
    <row r="130" spans="1:20" s="448" customFormat="1" ht="11.25">
      <c r="A130" s="862" t="s">
        <v>2758</v>
      </c>
      <c r="B130" s="863"/>
      <c r="C130" s="863"/>
      <c r="D130" s="863"/>
      <c r="E130" s="863"/>
      <c r="F130" s="863"/>
      <c r="G130" s="880"/>
      <c r="H130" s="863"/>
      <c r="I130" s="484">
        <f>SUM(I125:I129)</f>
        <v>88649679</v>
      </c>
      <c r="J130" s="484">
        <f>SUM(J125:J129)</f>
        <v>72214520</v>
      </c>
      <c r="K130" s="548">
        <f t="shared" si="9"/>
        <v>16435159</v>
      </c>
      <c r="L130" s="145">
        <f t="shared" si="8"/>
        <v>0.22758801138607582</v>
      </c>
      <c r="M130" s="453"/>
      <c r="Q130" s="465"/>
      <c r="R130" s="465"/>
      <c r="S130" s="465"/>
      <c r="T130" s="465"/>
    </row>
    <row r="131" spans="1:20" s="448" customFormat="1" ht="11.25">
      <c r="A131" s="549" t="s">
        <v>84</v>
      </c>
      <c r="B131" s="545" t="s">
        <v>2800</v>
      </c>
      <c r="C131" s="545"/>
      <c r="D131" s="441"/>
      <c r="E131" s="441"/>
      <c r="F131" s="450"/>
      <c r="G131" s="550"/>
      <c r="H131" s="178"/>
      <c r="I131" s="507"/>
      <c r="J131" s="507"/>
      <c r="K131" s="452">
        <f t="shared" si="9"/>
        <v>0</v>
      </c>
      <c r="L131" s="154" t="str">
        <f t="shared" si="8"/>
        <v xml:space="preserve">-    </v>
      </c>
      <c r="M131" s="453"/>
      <c r="Q131" s="465"/>
      <c r="R131" s="465"/>
      <c r="S131" s="465"/>
      <c r="T131" s="465"/>
    </row>
    <row r="132" spans="1:20" s="448" customFormat="1" ht="11.25">
      <c r="A132" s="549"/>
      <c r="B132" s="545" t="s">
        <v>86</v>
      </c>
      <c r="C132" s="545" t="s">
        <v>2801</v>
      </c>
      <c r="D132" s="441"/>
      <c r="E132" s="441"/>
      <c r="F132" s="450"/>
      <c r="G132" s="443"/>
      <c r="H132" s="178"/>
      <c r="I132" s="507">
        <f>+ROUND('SP Min'!D272,0)</f>
        <v>0</v>
      </c>
      <c r="J132" s="507">
        <f>+ROUND('SP Min'!E272,0)</f>
        <v>0</v>
      </c>
      <c r="K132" s="518">
        <f t="shared" si="9"/>
        <v>0</v>
      </c>
      <c r="L132" s="458" t="str">
        <f t="shared" si="8"/>
        <v xml:space="preserve">-    </v>
      </c>
      <c r="M132" s="453"/>
      <c r="Q132" s="465"/>
      <c r="R132" s="465"/>
      <c r="S132" s="465"/>
      <c r="T132" s="465"/>
    </row>
    <row r="133" spans="1:20" s="448" customFormat="1" ht="11.25">
      <c r="A133" s="549"/>
      <c r="B133" s="545" t="s">
        <v>88</v>
      </c>
      <c r="C133" s="545" t="s">
        <v>2802</v>
      </c>
      <c r="D133" s="441"/>
      <c r="E133" s="441"/>
      <c r="F133" s="450"/>
      <c r="G133" s="551"/>
      <c r="H133" s="178"/>
      <c r="I133" s="507">
        <f>+ROUND('SP Min'!D273+'SP Min'!D274,0)</f>
        <v>0</v>
      </c>
      <c r="J133" s="507">
        <f>+ROUND('SP Min'!E273+'SP Min'!E274,0)</f>
        <v>0</v>
      </c>
      <c r="K133" s="518">
        <f t="shared" si="9"/>
        <v>0</v>
      </c>
      <c r="L133" s="458" t="str">
        <f t="shared" si="8"/>
        <v xml:space="preserve">-    </v>
      </c>
      <c r="M133" s="453"/>
      <c r="Q133" s="465"/>
      <c r="R133" s="465"/>
      <c r="S133" s="465"/>
      <c r="T133" s="465"/>
    </row>
    <row r="134" spans="1:20" s="448" customFormat="1" ht="11.25">
      <c r="A134" s="862" t="s">
        <v>2762</v>
      </c>
      <c r="B134" s="863"/>
      <c r="C134" s="863"/>
      <c r="D134" s="863"/>
      <c r="E134" s="863"/>
      <c r="F134" s="863"/>
      <c r="G134" s="865"/>
      <c r="H134" s="863"/>
      <c r="I134" s="484">
        <f>SUM(I132:I133)</f>
        <v>0</v>
      </c>
      <c r="J134" s="484">
        <f>SUM(J132:J133)</f>
        <v>0</v>
      </c>
      <c r="K134" s="548">
        <f t="shared" si="9"/>
        <v>0</v>
      </c>
      <c r="L134" s="145" t="str">
        <f t="shared" si="8"/>
        <v xml:space="preserve">-    </v>
      </c>
      <c r="M134" s="453"/>
      <c r="Q134" s="465"/>
      <c r="R134" s="465"/>
      <c r="S134" s="465"/>
      <c r="T134" s="465"/>
    </row>
    <row r="135" spans="1:20" s="448" customFormat="1" ht="11.25">
      <c r="A135" s="552" t="s">
        <v>92</v>
      </c>
      <c r="B135" s="166" t="s">
        <v>2803</v>
      </c>
      <c r="C135" s="553"/>
      <c r="D135" s="553"/>
      <c r="E135" s="553"/>
      <c r="F135" s="442"/>
      <c r="G135" s="442"/>
      <c r="H135" s="442"/>
      <c r="I135" s="554"/>
      <c r="J135" s="554"/>
      <c r="K135" s="452">
        <f t="shared" si="9"/>
        <v>0</v>
      </c>
      <c r="L135" s="154" t="str">
        <f t="shared" si="8"/>
        <v xml:space="preserve">-    </v>
      </c>
      <c r="M135" s="453"/>
      <c r="Q135" s="465"/>
      <c r="R135" s="465"/>
      <c r="S135" s="465"/>
      <c r="T135" s="465"/>
    </row>
    <row r="136" spans="1:20" s="448" customFormat="1" ht="11.25">
      <c r="A136" s="439"/>
      <c r="B136" s="441"/>
      <c r="C136" s="441"/>
      <c r="D136" s="441"/>
      <c r="E136" s="441"/>
      <c r="F136" s="166"/>
      <c r="G136" s="555" t="s">
        <v>2696</v>
      </c>
      <c r="H136" s="556" t="s">
        <v>2697</v>
      </c>
      <c r="I136" s="557"/>
      <c r="J136" s="557"/>
      <c r="K136" s="452">
        <f t="shared" si="9"/>
        <v>0</v>
      </c>
      <c r="L136" s="154" t="str">
        <f t="shared" si="8"/>
        <v xml:space="preserve">-    </v>
      </c>
      <c r="M136" s="453"/>
      <c r="Q136" s="465"/>
      <c r="R136" s="465"/>
      <c r="S136" s="465"/>
      <c r="T136" s="465"/>
    </row>
    <row r="137" spans="1:20" s="448" customFormat="1" ht="11.25">
      <c r="A137" s="439"/>
      <c r="B137" s="545" t="s">
        <v>86</v>
      </c>
      <c r="C137" s="166" t="s">
        <v>2804</v>
      </c>
      <c r="D137" s="441"/>
      <c r="E137" s="441"/>
      <c r="F137" s="166"/>
      <c r="G137" s="182"/>
      <c r="H137" s="178"/>
      <c r="I137" s="507">
        <f>+ROUND('SP Min'!D276,0)</f>
        <v>0</v>
      </c>
      <c r="J137" s="507">
        <f>+ROUND('SP Min'!E276,0)</f>
        <v>0</v>
      </c>
      <c r="K137" s="518">
        <f t="shared" si="9"/>
        <v>0</v>
      </c>
      <c r="L137" s="458" t="str">
        <f t="shared" si="8"/>
        <v xml:space="preserve">-    </v>
      </c>
      <c r="M137" s="453"/>
      <c r="Q137" s="465"/>
      <c r="R137" s="465"/>
      <c r="S137" s="465"/>
      <c r="T137" s="465"/>
    </row>
    <row r="138" spans="1:20" s="448" customFormat="1" ht="11.25">
      <c r="A138" s="439"/>
      <c r="B138" s="545" t="s">
        <v>88</v>
      </c>
      <c r="C138" s="558" t="s">
        <v>2805</v>
      </c>
      <c r="D138" s="441"/>
      <c r="E138" s="441"/>
      <c r="F138" s="442"/>
      <c r="G138" s="182"/>
      <c r="H138" s="182"/>
      <c r="I138" s="507">
        <f>+ROUND('SP Min'!D277,0)</f>
        <v>7747</v>
      </c>
      <c r="J138" s="507">
        <f>+ROUND('SP Min'!E277,0)</f>
        <v>7747</v>
      </c>
      <c r="K138" s="518">
        <f t="shared" si="9"/>
        <v>0</v>
      </c>
      <c r="L138" s="458">
        <f t="shared" si="8"/>
        <v>0</v>
      </c>
      <c r="M138" s="453"/>
      <c r="Q138" s="465"/>
      <c r="R138" s="465"/>
      <c r="S138" s="465"/>
      <c r="T138" s="465"/>
    </row>
    <row r="139" spans="1:20" s="448" customFormat="1" ht="11.25">
      <c r="A139" s="439"/>
      <c r="B139" s="545" t="s">
        <v>116</v>
      </c>
      <c r="C139" s="166" t="s">
        <v>2806</v>
      </c>
      <c r="D139" s="441"/>
      <c r="E139" s="441"/>
      <c r="F139" s="442"/>
      <c r="G139" s="559"/>
      <c r="H139" s="167"/>
      <c r="I139" s="507">
        <f>+ROUND('SP Min'!D283,0)</f>
        <v>2020052</v>
      </c>
      <c r="J139" s="507">
        <f>+ROUND('SP Min'!E283,0)</f>
        <v>2020588</v>
      </c>
      <c r="K139" s="518">
        <f t="shared" si="9"/>
        <v>-536</v>
      </c>
      <c r="L139" s="458">
        <f t="shared" si="8"/>
        <v>-2.6526931764417089E-4</v>
      </c>
      <c r="M139" s="453"/>
      <c r="Q139" s="465"/>
      <c r="R139" s="465"/>
      <c r="S139" s="465"/>
      <c r="T139" s="465"/>
    </row>
    <row r="140" spans="1:20" s="448" customFormat="1" ht="11.25">
      <c r="A140" s="439"/>
      <c r="B140" s="545" t="s">
        <v>2671</v>
      </c>
      <c r="C140" s="558" t="s">
        <v>2807</v>
      </c>
      <c r="D140" s="441"/>
      <c r="E140" s="441"/>
      <c r="F140" s="166"/>
      <c r="G140" s="559"/>
      <c r="H140" s="479"/>
      <c r="I140" s="507">
        <f>+ROUND('SP Min'!D294,0)</f>
        <v>0</v>
      </c>
      <c r="J140" s="507">
        <f>+ROUND('SP Min'!E294,0)</f>
        <v>0</v>
      </c>
      <c r="K140" s="518">
        <f>+I140-J140</f>
        <v>0</v>
      </c>
      <c r="L140" s="458" t="str">
        <f t="shared" si="8"/>
        <v xml:space="preserve">-    </v>
      </c>
      <c r="M140" s="453"/>
      <c r="Q140" s="465"/>
      <c r="R140" s="465"/>
      <c r="S140" s="465"/>
      <c r="T140" s="465"/>
    </row>
    <row r="141" spans="1:20" s="448" customFormat="1" ht="11.25">
      <c r="A141" s="439"/>
      <c r="B141" s="545" t="s">
        <v>2673</v>
      </c>
      <c r="C141" s="166" t="s">
        <v>2808</v>
      </c>
      <c r="D141" s="441"/>
      <c r="E141" s="441"/>
      <c r="F141" s="442"/>
      <c r="G141" s="559"/>
      <c r="H141" s="167"/>
      <c r="I141" s="560">
        <f>I142+I143+I144+I145+I146+I147</f>
        <v>56818259</v>
      </c>
      <c r="J141" s="542">
        <f>J142+J143+J144+J145+J146+J147</f>
        <v>71858169</v>
      </c>
      <c r="K141" s="518">
        <f t="shared" si="9"/>
        <v>-15039910</v>
      </c>
      <c r="L141" s="458">
        <f t="shared" si="8"/>
        <v>-0.2092999335955805</v>
      </c>
      <c r="M141" s="453"/>
      <c r="Q141" s="465"/>
      <c r="R141" s="465"/>
      <c r="S141" s="465"/>
      <c r="T141" s="465"/>
    </row>
    <row r="142" spans="1:20" s="459" customFormat="1" ht="18" customHeight="1">
      <c r="A142" s="439"/>
      <c r="B142" s="441"/>
      <c r="C142" s="455" t="s">
        <v>2678</v>
      </c>
      <c r="D142" s="866" t="s">
        <v>2809</v>
      </c>
      <c r="E142" s="866"/>
      <c r="F142" s="867"/>
      <c r="G142" s="561"/>
      <c r="H142" s="562"/>
      <c r="I142" s="504">
        <f>+ROUND('SP Min'!D297+'SP Min'!D300+'SP Min'!D301+'SP Min'!D304+'SP Min'!D305,0)</f>
        <v>0</v>
      </c>
      <c r="J142" s="504">
        <f>+ROUND('SP Min'!E297+'SP Min'!E300+'SP Min'!E301+'SP Min'!E304+'SP Min'!E305,0)</f>
        <v>0</v>
      </c>
      <c r="K142" s="518">
        <f t="shared" si="9"/>
        <v>0</v>
      </c>
      <c r="L142" s="458" t="str">
        <f t="shared" si="8"/>
        <v xml:space="preserve">-    </v>
      </c>
      <c r="M142" s="453"/>
      <c r="Q142" s="463"/>
      <c r="R142" s="463"/>
      <c r="S142" s="463"/>
      <c r="T142" s="463"/>
    </row>
    <row r="143" spans="1:20" s="459" customFormat="1" ht="22.5" customHeight="1">
      <c r="A143" s="439"/>
      <c r="B143" s="441"/>
      <c r="C143" s="455" t="s">
        <v>2680</v>
      </c>
      <c r="D143" s="866" t="s">
        <v>2810</v>
      </c>
      <c r="E143" s="866"/>
      <c r="F143" s="867"/>
      <c r="G143" s="518"/>
      <c r="H143" s="562"/>
      <c r="I143" s="504">
        <f>+ROUND('SP Min'!D298,0)</f>
        <v>0</v>
      </c>
      <c r="J143" s="504">
        <f>+ROUND('SP Min'!E298,0)</f>
        <v>0</v>
      </c>
      <c r="K143" s="518">
        <f t="shared" si="9"/>
        <v>0</v>
      </c>
      <c r="L143" s="458" t="str">
        <f t="shared" si="8"/>
        <v xml:space="preserve">-    </v>
      </c>
      <c r="M143" s="453"/>
      <c r="Q143" s="463"/>
      <c r="R143" s="463"/>
      <c r="S143" s="463"/>
      <c r="T143" s="463"/>
    </row>
    <row r="144" spans="1:20" s="459" customFormat="1" ht="22.5" customHeight="1">
      <c r="A144" s="439"/>
      <c r="B144" s="441"/>
      <c r="C144" s="455" t="s">
        <v>2703</v>
      </c>
      <c r="D144" s="866" t="s">
        <v>2811</v>
      </c>
      <c r="E144" s="866"/>
      <c r="F144" s="867"/>
      <c r="G144" s="518"/>
      <c r="H144" s="562"/>
      <c r="I144" s="504">
        <f>+ROUND('SP Min'!D299,0)</f>
        <v>0</v>
      </c>
      <c r="J144" s="504">
        <f>+ROUND('SP Min'!E299,0)</f>
        <v>0</v>
      </c>
      <c r="K144" s="518">
        <f t="shared" si="9"/>
        <v>0</v>
      </c>
      <c r="L144" s="458" t="str">
        <f t="shared" si="8"/>
        <v xml:space="preserve">-    </v>
      </c>
      <c r="M144" s="453"/>
      <c r="Q144" s="463"/>
      <c r="R144" s="463"/>
      <c r="S144" s="463"/>
      <c r="T144" s="463"/>
    </row>
    <row r="145" spans="1:20" s="459" customFormat="1" ht="11.25">
      <c r="A145" s="439"/>
      <c r="B145" s="441"/>
      <c r="C145" s="455" t="s">
        <v>2705</v>
      </c>
      <c r="D145" s="866" t="s">
        <v>2812</v>
      </c>
      <c r="E145" s="866"/>
      <c r="F145" s="867"/>
      <c r="G145" s="561"/>
      <c r="H145" s="562"/>
      <c r="I145" s="462">
        <f>+ROUND('SP Min'!D302+'SP Min'!D303,0)</f>
        <v>56631774</v>
      </c>
      <c r="J145" s="504">
        <f>+ROUND('SP Min'!E302+'SP Min'!E303,0)</f>
        <v>71600958</v>
      </c>
      <c r="K145" s="518">
        <f t="shared" si="9"/>
        <v>-14969184</v>
      </c>
      <c r="L145" s="458">
        <f t="shared" si="8"/>
        <v>-0.20906401838925115</v>
      </c>
      <c r="M145" s="453"/>
      <c r="Q145" s="463"/>
      <c r="R145" s="463"/>
      <c r="S145" s="463"/>
      <c r="T145" s="463"/>
    </row>
    <row r="146" spans="1:20" s="459" customFormat="1" ht="21.6" customHeight="1">
      <c r="A146" s="439"/>
      <c r="B146" s="441"/>
      <c r="C146" s="455" t="s">
        <v>2813</v>
      </c>
      <c r="D146" s="866" t="s">
        <v>2814</v>
      </c>
      <c r="E146" s="866"/>
      <c r="F146" s="867"/>
      <c r="G146" s="561"/>
      <c r="H146" s="562"/>
      <c r="I146" s="504">
        <f>+ROUND('SP Min'!D307,0)</f>
        <v>0</v>
      </c>
      <c r="J146" s="504">
        <f>+ROUND('SP Min'!E307,0)</f>
        <v>0</v>
      </c>
      <c r="K146" s="518">
        <f t="shared" si="9"/>
        <v>0</v>
      </c>
      <c r="L146" s="458" t="str">
        <f t="shared" si="8"/>
        <v xml:space="preserve">-    </v>
      </c>
      <c r="M146" s="453"/>
      <c r="Q146" s="463"/>
      <c r="R146" s="463"/>
      <c r="S146" s="463"/>
      <c r="T146" s="463"/>
    </row>
    <row r="147" spans="1:20" s="459" customFormat="1" ht="11.25">
      <c r="A147" s="439"/>
      <c r="B147" s="441"/>
      <c r="C147" s="455" t="s">
        <v>2815</v>
      </c>
      <c r="D147" s="866" t="s">
        <v>2816</v>
      </c>
      <c r="E147" s="866"/>
      <c r="F147" s="867"/>
      <c r="G147" s="561"/>
      <c r="H147" s="562"/>
      <c r="I147" s="504">
        <f>+ROUND('SP Min'!D306,0)</f>
        <v>186485</v>
      </c>
      <c r="J147" s="504">
        <f>+ROUND('SP Min'!E306,0)</f>
        <v>257211</v>
      </c>
      <c r="K147" s="518">
        <f t="shared" si="9"/>
        <v>-70726</v>
      </c>
      <c r="L147" s="458">
        <f t="shared" si="8"/>
        <v>-0.27497268779329032</v>
      </c>
      <c r="M147" s="453"/>
      <c r="Q147" s="463"/>
      <c r="R147" s="463"/>
      <c r="S147" s="463"/>
      <c r="T147" s="463"/>
    </row>
    <row r="148" spans="1:20" s="448" customFormat="1" ht="11.25">
      <c r="A148" s="439"/>
      <c r="B148" s="545" t="s">
        <v>2688</v>
      </c>
      <c r="C148" s="545" t="s">
        <v>2817</v>
      </c>
      <c r="D148" s="545"/>
      <c r="E148" s="441"/>
      <c r="F148" s="166"/>
      <c r="G148" s="559"/>
      <c r="H148" s="178"/>
      <c r="I148" s="507">
        <f>+ROUND('SP Min'!D313,0)</f>
        <v>0</v>
      </c>
      <c r="J148" s="507">
        <f>+ROUND('SP Min'!E313,0)</f>
        <v>0</v>
      </c>
      <c r="K148" s="452">
        <f t="shared" si="9"/>
        <v>0</v>
      </c>
      <c r="L148" s="447" t="str">
        <f t="shared" si="8"/>
        <v xml:space="preserve">-    </v>
      </c>
      <c r="M148" s="453"/>
      <c r="Q148" s="465"/>
      <c r="R148" s="465"/>
      <c r="S148" s="465"/>
      <c r="T148" s="465"/>
    </row>
    <row r="149" spans="1:20" s="448" customFormat="1" ht="11.25">
      <c r="A149" s="439"/>
      <c r="B149" s="545" t="s">
        <v>2690</v>
      </c>
      <c r="C149" s="166" t="s">
        <v>2818</v>
      </c>
      <c r="D149" s="545"/>
      <c r="E149" s="441"/>
      <c r="F149" s="166"/>
      <c r="G149" s="559"/>
      <c r="H149" s="177"/>
      <c r="I149" s="451">
        <f>+ROUND('SP Min'!D317,0)</f>
        <v>69904093</v>
      </c>
      <c r="J149" s="507">
        <f>+ROUND('SP Min'!E317,0)</f>
        <v>89809618</v>
      </c>
      <c r="K149" s="452">
        <f t="shared" si="9"/>
        <v>-19905525</v>
      </c>
      <c r="L149" s="447">
        <f t="shared" si="8"/>
        <v>-0.22164135026161674</v>
      </c>
      <c r="M149" s="453"/>
      <c r="Q149" s="465"/>
      <c r="R149" s="465"/>
      <c r="S149" s="465"/>
      <c r="T149" s="465"/>
    </row>
    <row r="150" spans="1:20" s="448" customFormat="1" ht="11.25">
      <c r="A150" s="439"/>
      <c r="B150" s="545" t="s">
        <v>2692</v>
      </c>
      <c r="C150" s="166" t="s">
        <v>2819</v>
      </c>
      <c r="D150" s="545"/>
      <c r="E150" s="441"/>
      <c r="F150" s="166"/>
      <c r="G150" s="561"/>
      <c r="H150" s="178"/>
      <c r="I150" s="451">
        <f>+ROUND('SP Min'!D324,0)</f>
        <v>0</v>
      </c>
      <c r="J150" s="507">
        <f>+ROUND('SP Min'!E324,0)</f>
        <v>0</v>
      </c>
      <c r="K150" s="452">
        <f t="shared" si="9"/>
        <v>0</v>
      </c>
      <c r="L150" s="447" t="str">
        <f t="shared" si="8"/>
        <v xml:space="preserve">-    </v>
      </c>
      <c r="M150" s="453"/>
      <c r="Q150" s="465"/>
      <c r="R150" s="465"/>
      <c r="S150" s="465"/>
      <c r="T150" s="465"/>
    </row>
    <row r="151" spans="1:20" s="448" customFormat="1" ht="11.25">
      <c r="A151" s="439"/>
      <c r="B151" s="545" t="s">
        <v>2694</v>
      </c>
      <c r="C151" s="166" t="s">
        <v>2820</v>
      </c>
      <c r="D151" s="545"/>
      <c r="E151" s="441"/>
      <c r="F151" s="563"/>
      <c r="G151" s="559"/>
      <c r="H151" s="178"/>
      <c r="I151" s="451">
        <f>+ROUND('SP Min'!D325,0)</f>
        <v>1301343</v>
      </c>
      <c r="J151" s="507">
        <f>+ROUND('SP Min'!E325,0)</f>
        <v>1679307</v>
      </c>
      <c r="K151" s="452">
        <f t="shared" si="9"/>
        <v>-377964</v>
      </c>
      <c r="L151" s="447">
        <f t="shared" si="8"/>
        <v>-0.22507141338659339</v>
      </c>
      <c r="M151" s="453"/>
      <c r="Q151" s="465"/>
      <c r="R151" s="465"/>
      <c r="S151" s="465"/>
      <c r="T151" s="465"/>
    </row>
    <row r="152" spans="1:20" s="448" customFormat="1" ht="11.25">
      <c r="A152" s="564"/>
      <c r="B152" s="565" t="s">
        <v>2821</v>
      </c>
      <c r="C152" s="166" t="s">
        <v>2822</v>
      </c>
      <c r="D152" s="565"/>
      <c r="E152" s="427"/>
      <c r="F152" s="563"/>
      <c r="G152" s="561"/>
      <c r="H152" s="174"/>
      <c r="I152" s="451">
        <f>+ROUND('SP Min'!D328,0)</f>
        <v>0</v>
      </c>
      <c r="J152" s="507">
        <f>+ROUND('SP Min'!E328,0)</f>
        <v>0</v>
      </c>
      <c r="K152" s="452">
        <f t="shared" si="9"/>
        <v>0</v>
      </c>
      <c r="L152" s="447" t="str">
        <f t="shared" si="8"/>
        <v xml:space="preserve">-    </v>
      </c>
      <c r="M152" s="453"/>
      <c r="Q152" s="465"/>
      <c r="R152" s="465"/>
      <c r="S152" s="465"/>
      <c r="T152" s="465"/>
    </row>
    <row r="153" spans="1:20" s="448" customFormat="1" ht="11.25">
      <c r="A153" s="439"/>
      <c r="B153" s="545" t="s">
        <v>2823</v>
      </c>
      <c r="C153" s="166" t="s">
        <v>2824</v>
      </c>
      <c r="D153" s="545"/>
      <c r="E153" s="441"/>
      <c r="F153" s="166"/>
      <c r="G153" s="559"/>
      <c r="H153" s="178"/>
      <c r="I153" s="451">
        <f>+ROUND(+'SP Min'!D326,0)</f>
        <v>498835</v>
      </c>
      <c r="J153" s="507">
        <f>+ROUND(+'SP Min'!E326,0)</f>
        <v>442347</v>
      </c>
      <c r="K153" s="452">
        <f t="shared" si="9"/>
        <v>56488</v>
      </c>
      <c r="L153" s="447">
        <f t="shared" si="8"/>
        <v>0.12770065129864111</v>
      </c>
      <c r="M153" s="453"/>
      <c r="Q153" s="465"/>
      <c r="R153" s="465"/>
      <c r="S153" s="465"/>
      <c r="T153" s="465"/>
    </row>
    <row r="154" spans="1:20" s="448" customFormat="1" ht="11.25">
      <c r="A154" s="439"/>
      <c r="B154" s="545" t="s">
        <v>2825</v>
      </c>
      <c r="C154" s="166" t="s">
        <v>2826</v>
      </c>
      <c r="D154" s="545"/>
      <c r="E154" s="441"/>
      <c r="F154" s="442"/>
      <c r="G154" s="566"/>
      <c r="H154" s="567"/>
      <c r="I154" s="451">
        <f>+ROUND('SP Min'!D331+'SP Min'!D329+'SP Min'!D330,0)</f>
        <v>4336959</v>
      </c>
      <c r="J154" s="507">
        <f>+ROUND('SP Min'!E331+'SP Min'!E329+'SP Min'!E330,0)</f>
        <v>4329490</v>
      </c>
      <c r="K154" s="452">
        <f t="shared" si="9"/>
        <v>7469</v>
      </c>
      <c r="L154" s="447">
        <f t="shared" si="8"/>
        <v>1.725145455931299E-3</v>
      </c>
      <c r="M154" s="453"/>
      <c r="Q154" s="465"/>
      <c r="R154" s="465"/>
      <c r="S154" s="465"/>
      <c r="T154" s="465"/>
    </row>
    <row r="155" spans="1:20" s="448" customFormat="1" ht="11.25">
      <c r="A155" s="881" t="s">
        <v>2770</v>
      </c>
      <c r="B155" s="882"/>
      <c r="C155" s="882"/>
      <c r="D155" s="882"/>
      <c r="E155" s="882"/>
      <c r="F155" s="882"/>
      <c r="G155" s="883"/>
      <c r="H155" s="884"/>
      <c r="I155" s="484">
        <f>SUM(I137:I141)+SUM(I148:I154)</f>
        <v>134887288</v>
      </c>
      <c r="J155" s="484">
        <f>SUM(J137:J141)+SUM(J148:J154)</f>
        <v>170147266</v>
      </c>
      <c r="K155" s="548">
        <f t="shared" si="9"/>
        <v>-35259978</v>
      </c>
      <c r="L155" s="145">
        <f t="shared" si="8"/>
        <v>-0.20723211620690984</v>
      </c>
      <c r="M155" s="453"/>
      <c r="Q155" s="465"/>
      <c r="R155" s="465"/>
      <c r="S155" s="465"/>
      <c r="T155" s="465"/>
    </row>
    <row r="156" spans="1:20" s="448" customFormat="1" ht="11.25">
      <c r="A156" s="549" t="s">
        <v>97</v>
      </c>
      <c r="B156" s="166" t="s">
        <v>2827</v>
      </c>
      <c r="C156" s="545"/>
      <c r="D156" s="545"/>
      <c r="E156" s="441"/>
      <c r="F156" s="442"/>
      <c r="G156" s="550"/>
      <c r="H156" s="178"/>
      <c r="I156" s="542"/>
      <c r="J156" s="542"/>
      <c r="K156" s="452">
        <f t="shared" si="9"/>
        <v>0</v>
      </c>
      <c r="L156" s="154" t="str">
        <f t="shared" si="8"/>
        <v xml:space="preserve">-    </v>
      </c>
      <c r="M156" s="453"/>
      <c r="Q156" s="465"/>
      <c r="R156" s="465"/>
      <c r="S156" s="465"/>
      <c r="T156" s="465"/>
    </row>
    <row r="157" spans="1:20" s="448" customFormat="1" ht="11.25">
      <c r="A157" s="549"/>
      <c r="B157" s="545" t="s">
        <v>86</v>
      </c>
      <c r="C157" s="166" t="s">
        <v>2828</v>
      </c>
      <c r="D157" s="545"/>
      <c r="E157" s="441"/>
      <c r="F157" s="450"/>
      <c r="G157" s="443"/>
      <c r="H157" s="178"/>
      <c r="I157" s="507">
        <f>+ROUND(+'SP Min'!D333,0)</f>
        <v>0</v>
      </c>
      <c r="J157" s="507">
        <f>+ROUND(+'SP Min'!E333,0)</f>
        <v>0</v>
      </c>
      <c r="K157" s="518">
        <f t="shared" si="9"/>
        <v>0</v>
      </c>
      <c r="L157" s="458" t="str">
        <f t="shared" si="8"/>
        <v xml:space="preserve">-    </v>
      </c>
      <c r="M157" s="453"/>
      <c r="Q157" s="465"/>
      <c r="R157" s="465"/>
      <c r="S157" s="465"/>
      <c r="T157" s="465"/>
    </row>
    <row r="158" spans="1:20" s="448" customFormat="1" ht="11.25">
      <c r="A158" s="549"/>
      <c r="B158" s="545" t="s">
        <v>88</v>
      </c>
      <c r="C158" s="166" t="s">
        <v>2829</v>
      </c>
      <c r="D158" s="545"/>
      <c r="E158" s="441"/>
      <c r="F158" s="442"/>
      <c r="G158" s="551"/>
      <c r="H158" s="178"/>
      <c r="I158" s="507">
        <f>+ROUND(+'SP Min'!D336,0)</f>
        <v>0</v>
      </c>
      <c r="J158" s="507">
        <f>+ROUND(+'SP Min'!E336,0)</f>
        <v>0</v>
      </c>
      <c r="K158" s="518">
        <f t="shared" si="9"/>
        <v>0</v>
      </c>
      <c r="L158" s="458" t="str">
        <f t="shared" si="8"/>
        <v xml:space="preserve">-    </v>
      </c>
      <c r="M158" s="453"/>
      <c r="Q158" s="465"/>
      <c r="R158" s="465"/>
      <c r="S158" s="465"/>
      <c r="T158" s="465"/>
    </row>
    <row r="159" spans="1:20" s="448" customFormat="1" ht="11.25">
      <c r="A159" s="881" t="s">
        <v>2830</v>
      </c>
      <c r="B159" s="882"/>
      <c r="C159" s="882"/>
      <c r="D159" s="882"/>
      <c r="E159" s="882"/>
      <c r="F159" s="882"/>
      <c r="G159" s="885"/>
      <c r="H159" s="884"/>
      <c r="I159" s="484">
        <f>SUM(I157:I158)</f>
        <v>0</v>
      </c>
      <c r="J159" s="484">
        <f>SUM(J157:J158)</f>
        <v>0</v>
      </c>
      <c r="K159" s="548">
        <f t="shared" si="9"/>
        <v>0</v>
      </c>
      <c r="L159" s="145" t="str">
        <f t="shared" si="8"/>
        <v xml:space="preserve">-    </v>
      </c>
      <c r="M159" s="453"/>
      <c r="Q159" s="465"/>
      <c r="R159" s="465"/>
      <c r="S159" s="465"/>
      <c r="T159" s="465"/>
    </row>
    <row r="160" spans="1:20" s="448" customFormat="1" ht="12" thickBot="1">
      <c r="A160" s="439"/>
      <c r="B160" s="441"/>
      <c r="C160" s="441"/>
      <c r="D160" s="441"/>
      <c r="E160" s="441"/>
      <c r="F160" s="450"/>
      <c r="G160" s="550"/>
      <c r="H160" s="178"/>
      <c r="I160" s="542"/>
      <c r="J160" s="542"/>
      <c r="K160" s="452">
        <f t="shared" si="9"/>
        <v>0</v>
      </c>
      <c r="L160" s="154" t="str">
        <f t="shared" si="8"/>
        <v xml:space="preserve">-    </v>
      </c>
      <c r="M160" s="453"/>
      <c r="Q160" s="465"/>
      <c r="R160" s="465"/>
      <c r="S160" s="465"/>
      <c r="T160" s="465"/>
    </row>
    <row r="161" spans="1:20" s="448" customFormat="1" ht="12" thickBot="1">
      <c r="A161" s="842" t="s">
        <v>2831</v>
      </c>
      <c r="B161" s="843"/>
      <c r="C161" s="843"/>
      <c r="D161" s="843"/>
      <c r="E161" s="843"/>
      <c r="F161" s="843"/>
      <c r="G161" s="843"/>
      <c r="H161" s="886"/>
      <c r="I161" s="519">
        <f>I123+I130+I134+I155+I159</f>
        <v>243721456</v>
      </c>
      <c r="J161" s="519">
        <f>J123+J130+J134+J155+J159</f>
        <v>249702443</v>
      </c>
      <c r="K161" s="568">
        <f t="shared" si="9"/>
        <v>-5980987</v>
      </c>
      <c r="L161" s="146">
        <f t="shared" si="8"/>
        <v>-2.3952456884853146E-2</v>
      </c>
      <c r="M161" s="453"/>
      <c r="Q161" s="465"/>
      <c r="R161" s="465"/>
      <c r="S161" s="465"/>
      <c r="T161" s="465"/>
    </row>
    <row r="162" spans="1:20" s="448" customFormat="1" ht="11.25">
      <c r="A162" s="549" t="s">
        <v>2832</v>
      </c>
      <c r="B162" s="166" t="s">
        <v>2764</v>
      </c>
      <c r="C162" s="545"/>
      <c r="D162" s="545"/>
      <c r="E162" s="545"/>
      <c r="F162" s="565"/>
      <c r="G162" s="492"/>
      <c r="H162" s="513"/>
      <c r="I162" s="514"/>
      <c r="J162" s="514"/>
      <c r="K162" s="452" t="s">
        <v>2833</v>
      </c>
      <c r="L162" s="154" t="s">
        <v>2833</v>
      </c>
      <c r="M162" s="453"/>
      <c r="Q162" s="465"/>
      <c r="R162" s="465"/>
      <c r="S162" s="465"/>
      <c r="T162" s="465"/>
    </row>
    <row r="163" spans="1:20" s="448" customFormat="1" ht="11.25">
      <c r="A163" s="549"/>
      <c r="B163" s="545" t="s">
        <v>2765</v>
      </c>
      <c r="C163" s="166" t="s">
        <v>2766</v>
      </c>
      <c r="D163" s="545"/>
      <c r="E163" s="545"/>
      <c r="F163" s="450"/>
      <c r="G163" s="492"/>
      <c r="H163" s="513"/>
      <c r="I163" s="507">
        <f>+ROUND(+'SP Min'!D342,0)</f>
        <v>0</v>
      </c>
      <c r="J163" s="507">
        <f>+ROUND(+'SP Min'!E342,0)</f>
        <v>0</v>
      </c>
      <c r="K163" s="518">
        <f t="shared" si="9"/>
        <v>0</v>
      </c>
      <c r="L163" s="458" t="str">
        <f t="shared" si="8"/>
        <v xml:space="preserve">-    </v>
      </c>
      <c r="M163" s="453"/>
      <c r="Q163" s="465"/>
      <c r="R163" s="465"/>
      <c r="S163" s="465"/>
      <c r="T163" s="465"/>
    </row>
    <row r="164" spans="1:20" s="448" customFormat="1" ht="11.25">
      <c r="A164" s="549"/>
      <c r="B164" s="545" t="s">
        <v>88</v>
      </c>
      <c r="C164" s="450" t="s">
        <v>2767</v>
      </c>
      <c r="D164" s="545"/>
      <c r="E164" s="545"/>
      <c r="F164" s="565"/>
      <c r="G164" s="492"/>
      <c r="H164" s="513"/>
      <c r="I164" s="507">
        <f>+ROUND(+'SP Min'!D343,0)</f>
        <v>0</v>
      </c>
      <c r="J164" s="507">
        <f>+ROUND(+'SP Min'!E343,0)</f>
        <v>0</v>
      </c>
      <c r="K164" s="518">
        <f t="shared" si="9"/>
        <v>0</v>
      </c>
      <c r="L164" s="458" t="str">
        <f t="shared" si="8"/>
        <v xml:space="preserve">-    </v>
      </c>
      <c r="M164" s="453"/>
      <c r="Q164" s="465"/>
      <c r="R164" s="465"/>
      <c r="S164" s="465"/>
      <c r="T164" s="465"/>
    </row>
    <row r="165" spans="1:20" s="448" customFormat="1" ht="11.25">
      <c r="A165" s="549"/>
      <c r="B165" s="450" t="s">
        <v>116</v>
      </c>
      <c r="C165" s="545" t="s">
        <v>2768</v>
      </c>
      <c r="D165" s="545"/>
      <c r="E165" s="545"/>
      <c r="F165" s="565"/>
      <c r="G165" s="492"/>
      <c r="H165" s="513"/>
      <c r="I165" s="507">
        <f>+ROUND(+'SP Min'!D344,0)</f>
        <v>347397</v>
      </c>
      <c r="J165" s="507">
        <f>+ROUND(+'SP Min'!E344,0)</f>
        <v>347397</v>
      </c>
      <c r="K165" s="518">
        <f t="shared" si="9"/>
        <v>0</v>
      </c>
      <c r="L165" s="458">
        <f t="shared" si="8"/>
        <v>0</v>
      </c>
      <c r="M165" s="453"/>
      <c r="Q165" s="465"/>
      <c r="R165" s="465"/>
      <c r="S165" s="465"/>
      <c r="T165" s="465"/>
    </row>
    <row r="166" spans="1:20" s="448" customFormat="1" ht="11.25">
      <c r="A166" s="549"/>
      <c r="B166" s="545" t="s">
        <v>2671</v>
      </c>
      <c r="C166" s="166" t="s">
        <v>2769</v>
      </c>
      <c r="D166" s="545"/>
      <c r="E166" s="545"/>
      <c r="F166" s="450"/>
      <c r="G166" s="515"/>
      <c r="H166" s="513"/>
      <c r="I166" s="507">
        <f>+ROUND(+'SP Min'!D345+'SP Min'!D346,0)</f>
        <v>0</v>
      </c>
      <c r="J166" s="507">
        <f>+ROUND(+'SP Min'!E345+'SP Min'!E346,0)</f>
        <v>0</v>
      </c>
      <c r="K166" s="518">
        <f t="shared" si="9"/>
        <v>0</v>
      </c>
      <c r="L166" s="458" t="str">
        <f t="shared" si="8"/>
        <v xml:space="preserve">-    </v>
      </c>
      <c r="M166" s="453"/>
      <c r="Q166" s="465"/>
      <c r="R166" s="465"/>
      <c r="S166" s="465"/>
      <c r="T166" s="465"/>
    </row>
    <row r="167" spans="1:20" s="448" customFormat="1" ht="12" thickBot="1">
      <c r="A167" s="868" t="s">
        <v>2834</v>
      </c>
      <c r="B167" s="869"/>
      <c r="C167" s="869"/>
      <c r="D167" s="869"/>
      <c r="E167" s="869"/>
      <c r="F167" s="869"/>
      <c r="G167" s="870"/>
      <c r="H167" s="871"/>
      <c r="I167" s="522">
        <f>SUM(I163:I166)</f>
        <v>347397</v>
      </c>
      <c r="J167" s="522">
        <f>SUM(J163:J166)</f>
        <v>347397</v>
      </c>
      <c r="K167" s="523">
        <f t="shared" si="9"/>
        <v>0</v>
      </c>
      <c r="L167" s="524">
        <f t="shared" si="8"/>
        <v>0</v>
      </c>
      <c r="M167" s="453"/>
      <c r="Q167" s="465"/>
      <c r="R167" s="465"/>
      <c r="S167" s="465"/>
      <c r="T167" s="465"/>
    </row>
    <row r="168" spans="1:20" s="459" customFormat="1" ht="11.25">
      <c r="A168" s="569"/>
      <c r="B168" s="569"/>
      <c r="C168" s="569"/>
      <c r="D168" s="569"/>
      <c r="E168" s="569"/>
      <c r="I168" s="570"/>
      <c r="J168" s="570"/>
      <c r="K168" s="571"/>
      <c r="L168" s="572"/>
    </row>
    <row r="169" spans="1:20" s="459" customFormat="1" ht="11.25">
      <c r="A169" s="569"/>
      <c r="B169" s="569"/>
      <c r="C169" s="569"/>
      <c r="D169" s="569"/>
      <c r="E169" s="569"/>
      <c r="F169" s="573" t="s">
        <v>2833</v>
      </c>
      <c r="I169" s="570">
        <f>+I161-I92</f>
        <v>0</v>
      </c>
      <c r="J169" s="570"/>
      <c r="K169" s="571"/>
      <c r="L169" s="572"/>
    </row>
    <row r="170" spans="1:20" s="459" customFormat="1" ht="11.25">
      <c r="A170" s="569"/>
      <c r="B170" s="569"/>
      <c r="C170" s="569"/>
      <c r="D170" s="569"/>
      <c r="E170" s="569"/>
      <c r="I170" s="570"/>
      <c r="J170" s="570"/>
      <c r="K170" s="571"/>
      <c r="L170" s="572"/>
    </row>
    <row r="171" spans="1:20" s="459" customFormat="1" ht="11.25">
      <c r="A171" s="569"/>
      <c r="B171" s="569"/>
      <c r="C171" s="569"/>
      <c r="D171" s="569"/>
      <c r="E171" s="569"/>
      <c r="I171" s="570"/>
      <c r="J171" s="570"/>
      <c r="K171" s="571"/>
      <c r="L171" s="572"/>
    </row>
    <row r="172" spans="1:20" s="459" customFormat="1" ht="11.25">
      <c r="A172" s="569"/>
      <c r="B172" s="569"/>
      <c r="C172" s="569"/>
      <c r="D172" s="569"/>
      <c r="E172" s="569"/>
      <c r="I172" s="570"/>
      <c r="J172" s="570"/>
      <c r="K172" s="571"/>
      <c r="L172" s="572"/>
    </row>
    <row r="173" spans="1:20" s="459" customFormat="1" ht="11.25">
      <c r="A173" s="569"/>
      <c r="B173" s="569"/>
      <c r="C173" s="569"/>
      <c r="D173" s="569"/>
      <c r="E173" s="569"/>
      <c r="I173" s="570"/>
      <c r="J173" s="570"/>
      <c r="K173" s="571"/>
      <c r="L173" s="572"/>
    </row>
    <row r="174" spans="1:20" s="459" customFormat="1" ht="11.25">
      <c r="A174" s="569"/>
      <c r="B174" s="569"/>
      <c r="C174" s="569"/>
      <c r="D174" s="569"/>
      <c r="E174" s="569"/>
      <c r="I174" s="570"/>
      <c r="J174" s="570"/>
      <c r="K174" s="571"/>
      <c r="L174" s="572"/>
    </row>
    <row r="175" spans="1:20" s="459" customFormat="1" ht="11.25">
      <c r="A175" s="569"/>
      <c r="B175" s="569"/>
      <c r="C175" s="569"/>
      <c r="D175" s="569"/>
      <c r="E175" s="569"/>
      <c r="I175" s="570"/>
      <c r="J175" s="570"/>
      <c r="K175" s="571"/>
      <c r="L175" s="572"/>
    </row>
    <row r="176" spans="1:20" s="459" customFormat="1" ht="11.25">
      <c r="A176" s="569"/>
      <c r="B176" s="569"/>
      <c r="C176" s="569"/>
      <c r="D176" s="569"/>
      <c r="E176" s="569"/>
      <c r="I176" s="570"/>
      <c r="J176" s="570"/>
      <c r="K176" s="571"/>
      <c r="L176" s="572"/>
    </row>
    <row r="177" spans="1:12" s="459" customFormat="1" ht="11.25">
      <c r="A177" s="569"/>
      <c r="B177" s="569"/>
      <c r="C177" s="569"/>
      <c r="D177" s="569"/>
      <c r="E177" s="569"/>
      <c r="I177" s="570"/>
      <c r="J177" s="570"/>
      <c r="K177" s="571"/>
      <c r="L177" s="572"/>
    </row>
    <row r="178" spans="1:12" s="459" customFormat="1" ht="11.25">
      <c r="A178" s="569"/>
      <c r="B178" s="569"/>
      <c r="C178" s="569"/>
      <c r="D178" s="569"/>
      <c r="E178" s="569"/>
      <c r="I178" s="570"/>
      <c r="J178" s="570"/>
      <c r="K178" s="571"/>
      <c r="L178" s="572"/>
    </row>
    <row r="179" spans="1:12" s="459" customFormat="1" ht="11.25">
      <c r="A179" s="569"/>
      <c r="B179" s="569"/>
      <c r="C179" s="569"/>
      <c r="D179" s="569"/>
      <c r="E179" s="569"/>
      <c r="I179" s="570"/>
      <c r="J179" s="570"/>
      <c r="K179" s="571"/>
      <c r="L179" s="572"/>
    </row>
    <row r="180" spans="1:12" s="459" customFormat="1" ht="11.25">
      <c r="A180" s="569"/>
      <c r="B180" s="569"/>
      <c r="C180" s="569"/>
      <c r="D180" s="569"/>
      <c r="E180" s="569"/>
      <c r="I180" s="570"/>
      <c r="J180" s="570"/>
      <c r="K180" s="571"/>
      <c r="L180" s="572"/>
    </row>
    <row r="181" spans="1:12" s="459" customFormat="1" ht="11.25">
      <c r="A181" s="569"/>
      <c r="B181" s="569"/>
      <c r="C181" s="569"/>
      <c r="D181" s="569"/>
      <c r="E181" s="569"/>
      <c r="I181" s="570"/>
      <c r="J181" s="570"/>
      <c r="K181" s="571"/>
      <c r="L181" s="572"/>
    </row>
    <row r="182" spans="1:12" s="459" customFormat="1" ht="11.25">
      <c r="A182" s="569"/>
      <c r="B182" s="569"/>
      <c r="C182" s="569"/>
      <c r="D182" s="569"/>
      <c r="E182" s="569"/>
      <c r="I182" s="570"/>
      <c r="J182" s="570"/>
      <c r="K182" s="571"/>
      <c r="L182" s="572"/>
    </row>
    <row r="183" spans="1:12" s="459" customFormat="1" ht="11.25">
      <c r="A183" s="569"/>
      <c r="B183" s="569"/>
      <c r="C183" s="569"/>
      <c r="D183" s="569"/>
      <c r="E183" s="569"/>
      <c r="I183" s="570"/>
      <c r="J183" s="570"/>
      <c r="K183" s="571"/>
      <c r="L183" s="572"/>
    </row>
    <row r="184" spans="1:12" s="459" customFormat="1" ht="11.25">
      <c r="A184" s="569"/>
      <c r="B184" s="569"/>
      <c r="C184" s="569"/>
      <c r="D184" s="569"/>
      <c r="E184" s="569"/>
      <c r="I184" s="570"/>
      <c r="J184" s="570"/>
      <c r="K184" s="571"/>
      <c r="L184" s="572"/>
    </row>
    <row r="185" spans="1:12" s="459" customFormat="1" ht="11.25">
      <c r="A185" s="569"/>
      <c r="B185" s="569"/>
      <c r="C185" s="569"/>
      <c r="D185" s="569"/>
      <c r="E185" s="569"/>
      <c r="I185" s="570"/>
      <c r="J185" s="570"/>
      <c r="K185" s="571"/>
      <c r="L185" s="572"/>
    </row>
    <row r="186" spans="1:12" s="459" customFormat="1" ht="11.25">
      <c r="A186" s="569"/>
      <c r="B186" s="569"/>
      <c r="C186" s="569"/>
      <c r="D186" s="569"/>
      <c r="E186" s="569"/>
      <c r="I186" s="570"/>
      <c r="J186" s="570"/>
      <c r="K186" s="571"/>
      <c r="L186" s="572"/>
    </row>
    <row r="187" spans="1:12" s="459" customFormat="1" ht="11.25">
      <c r="A187" s="569"/>
      <c r="B187" s="569"/>
      <c r="C187" s="569"/>
      <c r="D187" s="569"/>
      <c r="E187" s="569"/>
      <c r="I187" s="570"/>
      <c r="J187" s="570"/>
      <c r="K187" s="571"/>
      <c r="L187" s="572"/>
    </row>
    <row r="188" spans="1:12" s="459" customFormat="1" ht="11.25">
      <c r="A188" s="569"/>
      <c r="B188" s="569"/>
      <c r="C188" s="569"/>
      <c r="D188" s="569"/>
      <c r="E188" s="569"/>
      <c r="I188" s="570"/>
      <c r="J188" s="570"/>
      <c r="K188" s="571"/>
      <c r="L188" s="572"/>
    </row>
    <row r="189" spans="1:12" s="459" customFormat="1" ht="11.25">
      <c r="A189" s="569"/>
      <c r="B189" s="569"/>
      <c r="C189" s="569"/>
      <c r="D189" s="569"/>
      <c r="E189" s="569"/>
      <c r="I189" s="570"/>
      <c r="J189" s="570"/>
      <c r="K189" s="571"/>
      <c r="L189" s="572"/>
    </row>
    <row r="190" spans="1:12" s="459" customFormat="1" ht="11.25">
      <c r="A190" s="569"/>
      <c r="B190" s="569"/>
      <c r="C190" s="569"/>
      <c r="D190" s="569"/>
      <c r="E190" s="569"/>
      <c r="I190" s="570"/>
      <c r="J190" s="570"/>
      <c r="K190" s="571"/>
      <c r="L190" s="572"/>
    </row>
    <row r="191" spans="1:12" s="459" customFormat="1" ht="11.25">
      <c r="A191" s="569"/>
      <c r="B191" s="569"/>
      <c r="C191" s="569"/>
      <c r="D191" s="569"/>
      <c r="E191" s="569"/>
      <c r="I191" s="570"/>
      <c r="J191" s="570"/>
      <c r="K191" s="571"/>
      <c r="L191" s="572"/>
    </row>
    <row r="192" spans="1:12" s="459" customFormat="1" ht="11.25">
      <c r="A192" s="569"/>
      <c r="B192" s="569"/>
      <c r="C192" s="569"/>
      <c r="D192" s="569"/>
      <c r="E192" s="569"/>
      <c r="I192" s="570"/>
      <c r="J192" s="570"/>
      <c r="K192" s="571"/>
      <c r="L192" s="572"/>
    </row>
    <row r="193" spans="1:12" s="459" customFormat="1" ht="11.25">
      <c r="A193" s="569"/>
      <c r="B193" s="569"/>
      <c r="C193" s="569"/>
      <c r="D193" s="569"/>
      <c r="E193" s="569"/>
      <c r="I193" s="570"/>
      <c r="J193" s="570"/>
      <c r="K193" s="571"/>
      <c r="L193" s="572"/>
    </row>
    <row r="194" spans="1:12" s="459" customFormat="1" ht="11.25">
      <c r="A194" s="569"/>
      <c r="B194" s="569"/>
      <c r="C194" s="569"/>
      <c r="D194" s="569"/>
      <c r="E194" s="569"/>
      <c r="I194" s="570"/>
      <c r="J194" s="570"/>
      <c r="K194" s="571"/>
      <c r="L194" s="572"/>
    </row>
    <row r="195" spans="1:12" s="459" customFormat="1" ht="11.25">
      <c r="A195" s="569"/>
      <c r="B195" s="569"/>
      <c r="C195" s="569"/>
      <c r="D195" s="569"/>
      <c r="E195" s="569"/>
      <c r="I195" s="570"/>
      <c r="J195" s="570"/>
      <c r="K195" s="571"/>
      <c r="L195" s="572"/>
    </row>
    <row r="196" spans="1:12" s="459" customFormat="1" ht="11.25">
      <c r="A196" s="569"/>
      <c r="B196" s="569"/>
      <c r="C196" s="569"/>
      <c r="D196" s="569"/>
      <c r="E196" s="569"/>
      <c r="I196" s="570"/>
      <c r="J196" s="570"/>
      <c r="K196" s="571"/>
      <c r="L196" s="572"/>
    </row>
    <row r="197" spans="1:12" s="459" customFormat="1" ht="11.25">
      <c r="A197" s="569"/>
      <c r="B197" s="569"/>
      <c r="C197" s="569"/>
      <c r="D197" s="569"/>
      <c r="E197" s="569"/>
      <c r="I197" s="570"/>
      <c r="J197" s="570"/>
      <c r="K197" s="571"/>
      <c r="L197" s="572"/>
    </row>
    <row r="198" spans="1:12" s="459" customFormat="1" ht="11.25">
      <c r="A198" s="569"/>
      <c r="B198" s="569"/>
      <c r="C198" s="569"/>
      <c r="D198" s="569"/>
      <c r="E198" s="569"/>
      <c r="I198" s="570"/>
      <c r="J198" s="570"/>
      <c r="K198" s="571"/>
      <c r="L198" s="572"/>
    </row>
    <row r="199" spans="1:12" s="459" customFormat="1" ht="11.25">
      <c r="A199" s="569"/>
      <c r="B199" s="569"/>
      <c r="C199" s="569"/>
      <c r="D199" s="569"/>
      <c r="E199" s="569"/>
      <c r="I199" s="570"/>
      <c r="J199" s="570"/>
      <c r="K199" s="571"/>
      <c r="L199" s="572"/>
    </row>
    <row r="200" spans="1:12" s="459" customFormat="1" ht="11.25">
      <c r="A200" s="569"/>
      <c r="B200" s="569"/>
      <c r="C200" s="569"/>
      <c r="D200" s="569"/>
      <c r="E200" s="569"/>
      <c r="I200" s="570"/>
      <c r="J200" s="570"/>
      <c r="K200" s="571"/>
      <c r="L200" s="572"/>
    </row>
    <row r="201" spans="1:12" s="459" customFormat="1" ht="11.25">
      <c r="A201" s="569"/>
      <c r="B201" s="569"/>
      <c r="C201" s="569"/>
      <c r="D201" s="569"/>
      <c r="E201" s="569"/>
      <c r="I201" s="570"/>
      <c r="J201" s="570"/>
      <c r="K201" s="571"/>
      <c r="L201" s="572"/>
    </row>
    <row r="202" spans="1:12" s="459" customFormat="1" ht="11.25">
      <c r="A202" s="569"/>
      <c r="B202" s="569"/>
      <c r="C202" s="569"/>
      <c r="D202" s="569"/>
      <c r="E202" s="569"/>
      <c r="I202" s="570"/>
      <c r="J202" s="570"/>
      <c r="K202" s="571"/>
      <c r="L202" s="572"/>
    </row>
    <row r="203" spans="1:12" s="459" customFormat="1" ht="11.25">
      <c r="A203" s="569"/>
      <c r="B203" s="569"/>
      <c r="C203" s="569"/>
      <c r="D203" s="569"/>
      <c r="E203" s="569"/>
      <c r="I203" s="570"/>
      <c r="J203" s="570"/>
      <c r="K203" s="571"/>
      <c r="L203" s="572"/>
    </row>
    <row r="204" spans="1:12" s="459" customFormat="1" ht="11.25">
      <c r="A204" s="569"/>
      <c r="B204" s="569"/>
      <c r="C204" s="569"/>
      <c r="D204" s="569"/>
      <c r="E204" s="569"/>
      <c r="I204" s="570"/>
      <c r="J204" s="570"/>
      <c r="K204" s="571"/>
      <c r="L204" s="572"/>
    </row>
    <row r="205" spans="1:12" s="459" customFormat="1" ht="11.25">
      <c r="A205" s="569"/>
      <c r="B205" s="569"/>
      <c r="C205" s="569"/>
      <c r="D205" s="569"/>
      <c r="E205" s="569"/>
      <c r="I205" s="570"/>
      <c r="J205" s="570"/>
      <c r="K205" s="571"/>
      <c r="L205" s="572"/>
    </row>
    <row r="206" spans="1:12" s="459" customFormat="1" ht="11.25">
      <c r="A206" s="569"/>
      <c r="B206" s="569"/>
      <c r="C206" s="569"/>
      <c r="D206" s="569"/>
      <c r="E206" s="569"/>
      <c r="I206" s="570"/>
      <c r="J206" s="570"/>
      <c r="K206" s="571"/>
      <c r="L206" s="572"/>
    </row>
    <row r="207" spans="1:12" s="459" customFormat="1" ht="11.25">
      <c r="A207" s="569"/>
      <c r="B207" s="569"/>
      <c r="C207" s="569"/>
      <c r="D207" s="569"/>
      <c r="E207" s="569"/>
      <c r="I207" s="570"/>
      <c r="J207" s="570"/>
      <c r="K207" s="571"/>
      <c r="L207" s="572"/>
    </row>
    <row r="208" spans="1:12" s="459" customFormat="1" ht="11.25">
      <c r="A208" s="569"/>
      <c r="B208" s="569"/>
      <c r="C208" s="569"/>
      <c r="D208" s="569"/>
      <c r="E208" s="569"/>
      <c r="I208" s="570"/>
      <c r="J208" s="570"/>
      <c r="K208" s="571"/>
      <c r="L208" s="572"/>
    </row>
    <row r="209" spans="1:12" s="459" customFormat="1" ht="11.25">
      <c r="A209" s="569"/>
      <c r="B209" s="569"/>
      <c r="C209" s="569"/>
      <c r="D209" s="569"/>
      <c r="E209" s="569"/>
      <c r="I209" s="570"/>
      <c r="J209" s="570"/>
      <c r="K209" s="571"/>
      <c r="L209" s="572"/>
    </row>
    <row r="210" spans="1:12" s="459" customFormat="1" ht="11.25">
      <c r="A210" s="569"/>
      <c r="B210" s="569"/>
      <c r="C210" s="569"/>
      <c r="D210" s="569"/>
      <c r="E210" s="569"/>
      <c r="I210" s="570"/>
      <c r="J210" s="570"/>
      <c r="K210" s="571"/>
      <c r="L210" s="572"/>
    </row>
    <row r="211" spans="1:12" s="459" customFormat="1" ht="11.25">
      <c r="A211" s="569"/>
      <c r="B211" s="569"/>
      <c r="C211" s="569"/>
      <c r="D211" s="569"/>
      <c r="E211" s="569"/>
      <c r="I211" s="570"/>
      <c r="J211" s="570"/>
      <c r="K211" s="571"/>
      <c r="L211" s="572"/>
    </row>
    <row r="212" spans="1:12" s="459" customFormat="1" ht="11.25">
      <c r="A212" s="569"/>
      <c r="B212" s="569"/>
      <c r="C212" s="569"/>
      <c r="D212" s="569"/>
      <c r="E212" s="569"/>
      <c r="I212" s="570"/>
      <c r="J212" s="570"/>
      <c r="K212" s="571"/>
      <c r="L212" s="572"/>
    </row>
    <row r="213" spans="1:12" s="459" customFormat="1" ht="11.25">
      <c r="A213" s="569"/>
      <c r="B213" s="569"/>
      <c r="C213" s="569"/>
      <c r="D213" s="569"/>
      <c r="E213" s="569"/>
      <c r="I213" s="570"/>
      <c r="J213" s="570"/>
      <c r="K213" s="571"/>
      <c r="L213" s="572"/>
    </row>
    <row r="214" spans="1:12" s="459" customFormat="1" ht="11.25">
      <c r="A214" s="569"/>
      <c r="B214" s="569"/>
      <c r="C214" s="569"/>
      <c r="D214" s="569"/>
      <c r="E214" s="569"/>
      <c r="I214" s="570"/>
      <c r="J214" s="570"/>
      <c r="K214" s="571"/>
      <c r="L214" s="572"/>
    </row>
    <row r="215" spans="1:12" s="459" customFormat="1" ht="11.25">
      <c r="A215" s="569"/>
      <c r="B215" s="569"/>
      <c r="C215" s="569"/>
      <c r="D215" s="569"/>
      <c r="E215" s="569"/>
      <c r="I215" s="570"/>
      <c r="J215" s="570"/>
      <c r="K215" s="571"/>
      <c r="L215" s="572"/>
    </row>
    <row r="216" spans="1:12" s="459" customFormat="1" ht="11.25">
      <c r="A216" s="569"/>
      <c r="B216" s="569"/>
      <c r="C216" s="569"/>
      <c r="D216" s="569"/>
      <c r="E216" s="569"/>
      <c r="I216" s="570"/>
      <c r="J216" s="570"/>
      <c r="K216" s="571"/>
      <c r="L216" s="572"/>
    </row>
    <row r="224" spans="1:12" s="459" customFormat="1">
      <c r="A224" s="574"/>
      <c r="B224" s="574"/>
      <c r="C224" s="574"/>
      <c r="D224" s="574"/>
      <c r="E224" s="574"/>
      <c r="F224" s="421"/>
      <c r="I224" s="570"/>
      <c r="J224" s="570"/>
      <c r="K224" s="571"/>
      <c r="L224" s="572"/>
    </row>
    <row r="225" spans="1:12" s="459" customFormat="1">
      <c r="A225" s="574"/>
      <c r="B225" s="574"/>
      <c r="C225" s="574"/>
      <c r="D225" s="574"/>
      <c r="E225" s="574"/>
      <c r="F225" s="421"/>
      <c r="I225" s="570"/>
      <c r="J225" s="570"/>
      <c r="K225" s="571"/>
      <c r="L225" s="572"/>
    </row>
    <row r="226" spans="1:12" s="459" customFormat="1">
      <c r="A226" s="574"/>
      <c r="B226" s="574"/>
      <c r="C226" s="574"/>
      <c r="D226" s="574"/>
      <c r="E226" s="574"/>
      <c r="F226" s="421"/>
      <c r="I226" s="570"/>
      <c r="J226" s="570"/>
      <c r="K226" s="571"/>
      <c r="L226" s="572"/>
    </row>
    <row r="227" spans="1:12" s="459" customFormat="1">
      <c r="A227" s="574"/>
      <c r="B227" s="574"/>
      <c r="C227" s="574"/>
      <c r="D227" s="574"/>
      <c r="E227" s="574"/>
      <c r="F227" s="421"/>
      <c r="I227" s="570"/>
      <c r="J227" s="570"/>
      <c r="K227" s="571"/>
      <c r="L227" s="572"/>
    </row>
    <row r="228" spans="1:12" s="459" customFormat="1">
      <c r="A228" s="574"/>
      <c r="B228" s="574"/>
      <c r="C228" s="574"/>
      <c r="D228" s="574"/>
      <c r="E228" s="574"/>
      <c r="F228" s="421"/>
      <c r="I228" s="570"/>
      <c r="J228" s="570"/>
      <c r="K228" s="571"/>
      <c r="L228" s="572"/>
    </row>
    <row r="229" spans="1:12" s="459" customFormat="1">
      <c r="A229" s="574"/>
      <c r="B229" s="574"/>
      <c r="C229" s="574"/>
      <c r="D229" s="574"/>
      <c r="E229" s="574"/>
      <c r="F229" s="421"/>
      <c r="I229" s="570"/>
      <c r="J229" s="570"/>
      <c r="K229" s="571"/>
      <c r="L229" s="572"/>
    </row>
    <row r="230" spans="1:12" s="459" customFormat="1">
      <c r="A230" s="574"/>
      <c r="B230" s="574"/>
      <c r="C230" s="574"/>
      <c r="D230" s="574"/>
      <c r="E230" s="574"/>
      <c r="F230" s="421"/>
      <c r="I230" s="570"/>
      <c r="J230" s="570"/>
      <c r="K230" s="571"/>
      <c r="L230" s="572"/>
    </row>
    <row r="231" spans="1:12" s="459" customFormat="1">
      <c r="A231" s="574"/>
      <c r="B231" s="574"/>
      <c r="C231" s="574"/>
      <c r="D231" s="574"/>
      <c r="E231" s="574"/>
      <c r="F231" s="421"/>
      <c r="I231" s="570"/>
      <c r="J231" s="570"/>
      <c r="K231" s="571"/>
      <c r="L231" s="572"/>
    </row>
    <row r="232" spans="1:12" s="459" customFormat="1">
      <c r="A232" s="574"/>
      <c r="B232" s="574"/>
      <c r="C232" s="574"/>
      <c r="D232" s="574"/>
      <c r="E232" s="574"/>
      <c r="F232" s="421"/>
      <c r="I232" s="570"/>
      <c r="J232" s="570"/>
      <c r="K232" s="571"/>
      <c r="L232" s="572"/>
    </row>
    <row r="233" spans="1:12" s="459" customFormat="1">
      <c r="A233" s="574"/>
      <c r="B233" s="574"/>
      <c r="C233" s="574"/>
      <c r="D233" s="574"/>
      <c r="E233" s="574"/>
      <c r="F233" s="421"/>
      <c r="I233" s="570"/>
      <c r="J233" s="570"/>
      <c r="K233" s="571"/>
      <c r="L233" s="572"/>
    </row>
    <row r="234" spans="1:12" s="459" customFormat="1">
      <c r="A234" s="574"/>
      <c r="B234" s="574"/>
      <c r="C234" s="574"/>
      <c r="D234" s="574"/>
      <c r="E234" s="574"/>
      <c r="F234" s="421"/>
      <c r="I234" s="570"/>
      <c r="J234" s="570"/>
      <c r="K234" s="571"/>
      <c r="L234" s="572"/>
    </row>
    <row r="235" spans="1:12" s="459" customFormat="1">
      <c r="A235" s="574"/>
      <c r="B235" s="574"/>
      <c r="C235" s="574"/>
      <c r="D235" s="574"/>
      <c r="E235" s="574"/>
      <c r="F235" s="421"/>
      <c r="I235" s="570"/>
      <c r="J235" s="570"/>
      <c r="K235" s="571"/>
      <c r="L235" s="572"/>
    </row>
    <row r="236" spans="1:12" s="459" customFormat="1">
      <c r="A236" s="574"/>
      <c r="B236" s="574"/>
      <c r="C236" s="574"/>
      <c r="D236" s="574"/>
      <c r="E236" s="574"/>
      <c r="F236" s="421"/>
      <c r="I236" s="570"/>
      <c r="J236" s="570"/>
      <c r="K236" s="571"/>
      <c r="L236" s="572"/>
    </row>
    <row r="237" spans="1:12" s="459" customFormat="1">
      <c r="A237" s="574"/>
      <c r="B237" s="574"/>
      <c r="C237" s="574"/>
      <c r="D237" s="574"/>
      <c r="E237" s="574"/>
      <c r="F237" s="421"/>
      <c r="I237" s="570"/>
      <c r="J237" s="570"/>
      <c r="K237" s="571"/>
      <c r="L237" s="572"/>
    </row>
    <row r="238" spans="1:12" s="459" customFormat="1">
      <c r="A238" s="574"/>
      <c r="B238" s="574"/>
      <c r="C238" s="574"/>
      <c r="D238" s="574"/>
      <c r="E238" s="574"/>
      <c r="F238" s="421"/>
      <c r="I238" s="570"/>
      <c r="J238" s="570"/>
      <c r="K238" s="571"/>
      <c r="L238" s="572"/>
    </row>
    <row r="239" spans="1:12" s="459" customFormat="1">
      <c r="A239" s="574"/>
      <c r="B239" s="574"/>
      <c r="C239" s="574"/>
      <c r="D239" s="574"/>
      <c r="E239" s="574"/>
      <c r="F239" s="421"/>
      <c r="I239" s="570"/>
      <c r="J239" s="570"/>
      <c r="K239" s="571"/>
      <c r="L239" s="572"/>
    </row>
    <row r="240" spans="1:12" s="459" customFormat="1">
      <c r="A240" s="574"/>
      <c r="B240" s="574"/>
      <c r="C240" s="574"/>
      <c r="D240" s="574"/>
      <c r="E240" s="574"/>
      <c r="F240" s="421"/>
      <c r="I240" s="570"/>
      <c r="J240" s="570"/>
      <c r="K240" s="571"/>
      <c r="L240" s="572"/>
    </row>
    <row r="241" spans="1:12" s="459" customFormat="1">
      <c r="A241" s="574"/>
      <c r="B241" s="574"/>
      <c r="C241" s="574"/>
      <c r="D241" s="574"/>
      <c r="E241" s="574"/>
      <c r="F241" s="421"/>
      <c r="I241" s="570"/>
      <c r="J241" s="570"/>
      <c r="K241" s="571"/>
      <c r="L241" s="572"/>
    </row>
    <row r="242" spans="1:12" s="459" customFormat="1">
      <c r="A242" s="574"/>
      <c r="B242" s="574"/>
      <c r="C242" s="574"/>
      <c r="D242" s="574"/>
      <c r="E242" s="574"/>
      <c r="F242" s="421"/>
      <c r="I242" s="570"/>
      <c r="J242" s="570"/>
      <c r="K242" s="571"/>
      <c r="L242" s="572"/>
    </row>
    <row r="243" spans="1:12" s="459" customFormat="1">
      <c r="A243" s="574"/>
      <c r="B243" s="574"/>
      <c r="C243" s="574"/>
      <c r="D243" s="574"/>
      <c r="E243" s="574"/>
      <c r="F243" s="421"/>
      <c r="I243" s="570"/>
      <c r="J243" s="570"/>
      <c r="K243" s="571"/>
      <c r="L243" s="572"/>
    </row>
    <row r="244" spans="1:12" s="459" customFormat="1">
      <c r="A244" s="574"/>
      <c r="B244" s="574"/>
      <c r="C244" s="574"/>
      <c r="D244" s="574"/>
      <c r="E244" s="574"/>
      <c r="F244" s="421"/>
      <c r="I244" s="570"/>
      <c r="J244" s="570"/>
      <c r="K244" s="571"/>
      <c r="L244" s="572"/>
    </row>
    <row r="245" spans="1:12" s="459" customFormat="1">
      <c r="A245" s="574"/>
      <c r="B245" s="574"/>
      <c r="C245" s="574"/>
      <c r="D245" s="574"/>
      <c r="E245" s="574"/>
      <c r="F245" s="421"/>
      <c r="I245" s="570"/>
      <c r="J245" s="570"/>
      <c r="K245" s="571"/>
      <c r="L245" s="572"/>
    </row>
    <row r="246" spans="1:12" s="459" customFormat="1">
      <c r="A246" s="574"/>
      <c r="B246" s="574"/>
      <c r="C246" s="574"/>
      <c r="D246" s="574"/>
      <c r="E246" s="574"/>
      <c r="F246" s="421"/>
      <c r="I246" s="570"/>
      <c r="J246" s="570"/>
      <c r="K246" s="571"/>
      <c r="L246" s="572"/>
    </row>
    <row r="247" spans="1:12" s="459" customFormat="1">
      <c r="A247" s="574"/>
      <c r="B247" s="574"/>
      <c r="C247" s="574"/>
      <c r="D247" s="574"/>
      <c r="E247" s="574"/>
      <c r="F247" s="421"/>
      <c r="I247" s="570"/>
      <c r="J247" s="570"/>
      <c r="K247" s="571"/>
      <c r="L247" s="572"/>
    </row>
    <row r="248" spans="1:12" s="459" customFormat="1">
      <c r="A248" s="574"/>
      <c r="B248" s="574"/>
      <c r="C248" s="574"/>
      <c r="D248" s="574"/>
      <c r="E248" s="574"/>
      <c r="F248" s="421"/>
      <c r="I248" s="570"/>
      <c r="J248" s="570"/>
      <c r="K248" s="571"/>
      <c r="L248" s="572"/>
    </row>
    <row r="249" spans="1:12" s="459" customFormat="1">
      <c r="A249" s="574"/>
      <c r="B249" s="574"/>
      <c r="C249" s="574"/>
      <c r="D249" s="574"/>
      <c r="E249" s="574"/>
      <c r="F249" s="421"/>
      <c r="I249" s="570"/>
      <c r="J249" s="570"/>
      <c r="K249" s="571"/>
      <c r="L249" s="572"/>
    </row>
    <row r="250" spans="1:12" s="459" customFormat="1">
      <c r="A250" s="574"/>
      <c r="B250" s="574"/>
      <c r="C250" s="574"/>
      <c r="D250" s="574"/>
      <c r="E250" s="574"/>
      <c r="F250" s="421"/>
      <c r="I250" s="570"/>
      <c r="J250" s="570"/>
      <c r="K250" s="571"/>
      <c r="L250" s="572"/>
    </row>
    <row r="251" spans="1:12" s="459" customFormat="1">
      <c r="A251" s="574"/>
      <c r="B251" s="574"/>
      <c r="C251" s="574"/>
      <c r="D251" s="574"/>
      <c r="E251" s="574"/>
      <c r="F251" s="421"/>
      <c r="I251" s="570"/>
      <c r="J251" s="570"/>
      <c r="K251" s="571"/>
      <c r="L251" s="572"/>
    </row>
    <row r="252" spans="1:12" s="459" customFormat="1">
      <c r="A252" s="574"/>
      <c r="B252" s="574"/>
      <c r="C252" s="574"/>
      <c r="D252" s="574"/>
      <c r="E252" s="574"/>
      <c r="F252" s="421"/>
      <c r="I252" s="570"/>
      <c r="J252" s="570"/>
      <c r="K252" s="571"/>
      <c r="L252" s="572"/>
    </row>
    <row r="253" spans="1:12" s="459" customFormat="1">
      <c r="A253" s="574"/>
      <c r="B253" s="574"/>
      <c r="C253" s="574"/>
      <c r="D253" s="574"/>
      <c r="E253" s="574"/>
      <c r="F253" s="421"/>
      <c r="I253" s="570"/>
      <c r="J253" s="570"/>
      <c r="K253" s="571"/>
      <c r="L253" s="572"/>
    </row>
    <row r="254" spans="1:12" s="459" customFormat="1">
      <c r="A254" s="574"/>
      <c r="B254" s="574"/>
      <c r="C254" s="574"/>
      <c r="D254" s="574"/>
      <c r="E254" s="574"/>
      <c r="F254" s="421"/>
      <c r="I254" s="570"/>
      <c r="J254" s="570"/>
      <c r="K254" s="571"/>
      <c r="L254" s="572"/>
    </row>
    <row r="255" spans="1:12" s="459" customFormat="1">
      <c r="A255" s="574"/>
      <c r="B255" s="574"/>
      <c r="C255" s="574"/>
      <c r="D255" s="574"/>
      <c r="E255" s="574"/>
      <c r="F255" s="421"/>
      <c r="I255" s="570"/>
      <c r="J255" s="570"/>
      <c r="K255" s="571"/>
      <c r="L255" s="572"/>
    </row>
    <row r="256" spans="1:12" s="459" customFormat="1">
      <c r="A256" s="574"/>
      <c r="B256" s="574"/>
      <c r="C256" s="574"/>
      <c r="D256" s="574"/>
      <c r="E256" s="574"/>
      <c r="F256" s="421"/>
      <c r="I256" s="570"/>
      <c r="J256" s="570"/>
      <c r="K256" s="571"/>
      <c r="L256" s="572"/>
    </row>
    <row r="257" spans="1:12" s="459" customFormat="1">
      <c r="A257" s="574"/>
      <c r="B257" s="574"/>
      <c r="C257" s="574"/>
      <c r="D257" s="574"/>
      <c r="E257" s="574"/>
      <c r="F257" s="421"/>
      <c r="I257" s="570"/>
      <c r="J257" s="570"/>
      <c r="K257" s="571"/>
      <c r="L257" s="572"/>
    </row>
    <row r="258" spans="1:12" s="459" customFormat="1">
      <c r="A258" s="574"/>
      <c r="B258" s="574"/>
      <c r="C258" s="574"/>
      <c r="D258" s="574"/>
      <c r="E258" s="574"/>
      <c r="F258" s="421"/>
      <c r="I258" s="570"/>
      <c r="J258" s="570"/>
      <c r="K258" s="571"/>
      <c r="L258" s="572"/>
    </row>
    <row r="259" spans="1:12" s="459" customFormat="1">
      <c r="A259" s="574"/>
      <c r="B259" s="574"/>
      <c r="C259" s="574"/>
      <c r="D259" s="574"/>
      <c r="E259" s="574"/>
      <c r="F259" s="421"/>
      <c r="I259" s="570"/>
      <c r="J259" s="570"/>
      <c r="K259" s="571"/>
      <c r="L259" s="572"/>
    </row>
    <row r="260" spans="1:12" s="459" customFormat="1">
      <c r="A260" s="574"/>
      <c r="B260" s="574"/>
      <c r="C260" s="574"/>
      <c r="D260" s="574"/>
      <c r="E260" s="574"/>
      <c r="F260" s="421"/>
      <c r="I260" s="570"/>
      <c r="J260" s="570"/>
      <c r="K260" s="571"/>
      <c r="L260" s="572"/>
    </row>
    <row r="261" spans="1:12" s="459" customFormat="1">
      <c r="A261" s="574"/>
      <c r="B261" s="574"/>
      <c r="C261" s="574"/>
      <c r="D261" s="574"/>
      <c r="E261" s="574"/>
      <c r="F261" s="421"/>
      <c r="I261" s="570"/>
      <c r="J261" s="570"/>
      <c r="K261" s="571"/>
      <c r="L261" s="572"/>
    </row>
    <row r="262" spans="1:12" s="459" customFormat="1">
      <c r="A262" s="574"/>
      <c r="B262" s="574"/>
      <c r="C262" s="574"/>
      <c r="D262" s="574"/>
      <c r="E262" s="574"/>
      <c r="F262" s="421"/>
      <c r="I262" s="570"/>
      <c r="J262" s="570"/>
      <c r="K262" s="571"/>
      <c r="L262" s="572"/>
    </row>
    <row r="263" spans="1:12" s="459" customFormat="1">
      <c r="A263" s="574"/>
      <c r="B263" s="574"/>
      <c r="C263" s="574"/>
      <c r="D263" s="574"/>
      <c r="E263" s="574"/>
      <c r="F263" s="421"/>
      <c r="I263" s="570"/>
      <c r="J263" s="570"/>
      <c r="K263" s="571"/>
      <c r="L263" s="572"/>
    </row>
    <row r="264" spans="1:12" s="459" customFormat="1">
      <c r="A264" s="574"/>
      <c r="B264" s="574"/>
      <c r="C264" s="574"/>
      <c r="D264" s="574"/>
      <c r="E264" s="574"/>
      <c r="F264" s="421"/>
      <c r="I264" s="570"/>
      <c r="J264" s="570"/>
      <c r="K264" s="571"/>
      <c r="L264" s="572"/>
    </row>
    <row r="265" spans="1:12" s="459" customFormat="1">
      <c r="A265" s="574"/>
      <c r="B265" s="574"/>
      <c r="C265" s="574"/>
      <c r="D265" s="574"/>
      <c r="E265" s="574"/>
      <c r="F265" s="421"/>
      <c r="I265" s="570"/>
      <c r="J265" s="570"/>
      <c r="K265" s="571"/>
      <c r="L265" s="572"/>
    </row>
    <row r="266" spans="1:12" s="459" customFormat="1">
      <c r="A266" s="574"/>
      <c r="B266" s="574"/>
      <c r="C266" s="574"/>
      <c r="D266" s="574"/>
      <c r="E266" s="574"/>
      <c r="F266" s="421"/>
      <c r="I266" s="570"/>
      <c r="J266" s="570"/>
      <c r="K266" s="571"/>
      <c r="L266" s="572"/>
    </row>
    <row r="267" spans="1:12" s="459" customFormat="1">
      <c r="A267" s="574"/>
      <c r="B267" s="574"/>
      <c r="C267" s="574"/>
      <c r="D267" s="574"/>
      <c r="E267" s="574"/>
      <c r="F267" s="421"/>
      <c r="I267" s="570"/>
      <c r="J267" s="570"/>
      <c r="K267" s="571"/>
      <c r="L267" s="572"/>
    </row>
    <row r="268" spans="1:12" s="459" customFormat="1">
      <c r="A268" s="574"/>
      <c r="B268" s="574"/>
      <c r="C268" s="574"/>
      <c r="D268" s="574"/>
      <c r="E268" s="574"/>
      <c r="F268" s="421"/>
      <c r="I268" s="570"/>
      <c r="J268" s="570"/>
      <c r="K268" s="571"/>
      <c r="L268" s="572"/>
    </row>
    <row r="269" spans="1:12" s="459" customFormat="1">
      <c r="A269" s="574"/>
      <c r="B269" s="574"/>
      <c r="C269" s="574"/>
      <c r="D269" s="574"/>
      <c r="E269" s="574"/>
      <c r="F269" s="421"/>
      <c r="I269" s="570"/>
      <c r="J269" s="570"/>
      <c r="K269" s="571"/>
      <c r="L269" s="572"/>
    </row>
    <row r="270" spans="1:12" s="459" customFormat="1">
      <c r="A270" s="574"/>
      <c r="B270" s="574"/>
      <c r="C270" s="574"/>
      <c r="D270" s="574"/>
      <c r="E270" s="574"/>
      <c r="F270" s="421"/>
      <c r="I270" s="570"/>
      <c r="J270" s="570"/>
      <c r="K270" s="571"/>
      <c r="L270" s="572"/>
    </row>
    <row r="271" spans="1:12" s="459" customFormat="1">
      <c r="A271" s="574"/>
      <c r="B271" s="574"/>
      <c r="C271" s="574"/>
      <c r="D271" s="574"/>
      <c r="E271" s="574"/>
      <c r="F271" s="421"/>
      <c r="I271" s="570"/>
      <c r="J271" s="570"/>
      <c r="K271" s="571"/>
      <c r="L271" s="572"/>
    </row>
    <row r="272" spans="1:12" s="459" customFormat="1">
      <c r="A272" s="574"/>
      <c r="B272" s="574"/>
      <c r="C272" s="574"/>
      <c r="D272" s="574"/>
      <c r="E272" s="574"/>
      <c r="F272" s="421"/>
      <c r="I272" s="570"/>
      <c r="J272" s="570"/>
      <c r="K272" s="571"/>
      <c r="L272" s="572"/>
    </row>
    <row r="273" spans="1:12" s="459" customFormat="1">
      <c r="A273" s="574"/>
      <c r="B273" s="574"/>
      <c r="C273" s="574"/>
      <c r="D273" s="574"/>
      <c r="E273" s="574"/>
      <c r="F273" s="421"/>
      <c r="I273" s="570"/>
      <c r="J273" s="570"/>
      <c r="K273" s="571"/>
      <c r="L273" s="572"/>
    </row>
    <row r="274" spans="1:12" s="459" customFormat="1">
      <c r="A274" s="574"/>
      <c r="B274" s="574"/>
      <c r="C274" s="574"/>
      <c r="D274" s="574"/>
      <c r="E274" s="574"/>
      <c r="F274" s="421"/>
      <c r="I274" s="570"/>
      <c r="J274" s="570"/>
      <c r="K274" s="571"/>
      <c r="L274" s="572"/>
    </row>
    <row r="275" spans="1:12" s="459" customFormat="1">
      <c r="A275" s="574"/>
      <c r="B275" s="574"/>
      <c r="C275" s="574"/>
      <c r="D275" s="574"/>
      <c r="E275" s="574"/>
      <c r="F275" s="421"/>
      <c r="I275" s="570"/>
      <c r="J275" s="570"/>
      <c r="K275" s="571"/>
      <c r="L275" s="572"/>
    </row>
    <row r="276" spans="1:12" s="459" customFormat="1">
      <c r="A276" s="574"/>
      <c r="B276" s="574"/>
      <c r="C276" s="574"/>
      <c r="D276" s="574"/>
      <c r="E276" s="574"/>
      <c r="F276" s="421"/>
      <c r="I276" s="570"/>
      <c r="J276" s="570"/>
      <c r="K276" s="571"/>
      <c r="L276" s="572"/>
    </row>
    <row r="277" spans="1:12" s="459" customFormat="1">
      <c r="A277" s="574"/>
      <c r="B277" s="574"/>
      <c r="C277" s="574"/>
      <c r="D277" s="574"/>
      <c r="E277" s="574"/>
      <c r="F277" s="421"/>
      <c r="I277" s="570"/>
      <c r="J277" s="570"/>
      <c r="K277" s="571"/>
      <c r="L277" s="572"/>
    </row>
    <row r="278" spans="1:12" s="459" customFormat="1">
      <c r="A278" s="574"/>
      <c r="B278" s="574"/>
      <c r="C278" s="574"/>
      <c r="D278" s="574"/>
      <c r="E278" s="574"/>
      <c r="F278" s="421"/>
      <c r="I278" s="570"/>
      <c r="J278" s="570"/>
      <c r="K278" s="571"/>
      <c r="L278" s="572"/>
    </row>
    <row r="279" spans="1:12" s="459" customFormat="1">
      <c r="A279" s="574"/>
      <c r="B279" s="574"/>
      <c r="C279" s="574"/>
      <c r="D279" s="574"/>
      <c r="E279" s="574"/>
      <c r="F279" s="421"/>
      <c r="I279" s="570"/>
      <c r="J279" s="570"/>
      <c r="K279" s="571"/>
      <c r="L279" s="572"/>
    </row>
    <row r="280" spans="1:12" s="459" customFormat="1">
      <c r="A280" s="574"/>
      <c r="B280" s="574"/>
      <c r="C280" s="574"/>
      <c r="D280" s="574"/>
      <c r="E280" s="574"/>
      <c r="F280" s="421"/>
      <c r="I280" s="570"/>
      <c r="J280" s="570"/>
      <c r="K280" s="571"/>
      <c r="L280" s="572"/>
    </row>
  </sheetData>
  <mergeCells count="32">
    <mergeCell ref="A167:H167"/>
    <mergeCell ref="D145:F145"/>
    <mergeCell ref="D146:F146"/>
    <mergeCell ref="D147:F147"/>
    <mergeCell ref="A155:H155"/>
    <mergeCell ref="A159:H159"/>
    <mergeCell ref="A161:H161"/>
    <mergeCell ref="D144:F144"/>
    <mergeCell ref="A98:H98"/>
    <mergeCell ref="A101:J101"/>
    <mergeCell ref="K101:L101"/>
    <mergeCell ref="A103:H104"/>
    <mergeCell ref="I103:I104"/>
    <mergeCell ref="J103:J104"/>
    <mergeCell ref="K103:L103"/>
    <mergeCell ref="A123:H123"/>
    <mergeCell ref="A130:H130"/>
    <mergeCell ref="A134:H134"/>
    <mergeCell ref="D142:F142"/>
    <mergeCell ref="D143:F143"/>
    <mergeCell ref="A92:H92"/>
    <mergeCell ref="A1:J1"/>
    <mergeCell ref="K1:L1"/>
    <mergeCell ref="A3:H4"/>
    <mergeCell ref="I3:I4"/>
    <mergeCell ref="J3:J4"/>
    <mergeCell ref="K3:L3"/>
    <mergeCell ref="C28:F28"/>
    <mergeCell ref="A37:H37"/>
    <mergeCell ref="C46:F46"/>
    <mergeCell ref="A86:H86"/>
    <mergeCell ref="A90:H9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8"/>
  <sheetViews>
    <sheetView topLeftCell="A232" zoomScaleNormal="100" workbookViewId="0">
      <selection activeCell="C245" sqref="C245"/>
    </sheetView>
  </sheetViews>
  <sheetFormatPr defaultColWidth="9.140625" defaultRowHeight="19.5"/>
  <cols>
    <col min="1" max="1" width="7.5703125" style="65" customWidth="1"/>
    <col min="2" max="2" width="12" style="65" customWidth="1"/>
    <col min="3" max="3" width="79.5703125" style="64" customWidth="1"/>
    <col min="4" max="4" width="30.85546875" style="576" bestFit="1" customWidth="1"/>
    <col min="5" max="5" width="24.28515625" style="64" bestFit="1" customWidth="1"/>
    <col min="6" max="6" width="3.28515625" style="609" customWidth="1"/>
    <col min="7" max="7" width="3.28515625" style="735" customWidth="1"/>
    <col min="8" max="9" width="3.28515625" style="64" customWidth="1"/>
    <col min="10" max="10" width="16.140625" style="64" customWidth="1"/>
    <col min="11" max="11" width="6.28515625" style="64" customWidth="1"/>
    <col min="12" max="17" width="3" style="64" customWidth="1"/>
    <col min="18" max="21" width="3.28515625" style="64" customWidth="1"/>
    <col min="22" max="22" width="1.28515625" style="64" customWidth="1"/>
    <col min="23" max="23" width="5.28515625" style="64" customWidth="1"/>
    <col min="24" max="28" width="3.28515625" style="64" customWidth="1"/>
    <col min="29" max="29" width="9.140625" style="64" customWidth="1"/>
    <col min="30" max="198" width="9.140625" style="64"/>
    <col min="199" max="206" width="9.140625" style="64" customWidth="1"/>
    <col min="207" max="207" width="10.140625" style="64" customWidth="1"/>
    <col min="208" max="208" width="1" style="64" customWidth="1"/>
    <col min="209" max="211" width="3.28515625" style="64" customWidth="1"/>
    <col min="212" max="212" width="1.85546875" style="64" customWidth="1"/>
    <col min="213" max="213" width="17.85546875" style="64" customWidth="1"/>
    <col min="214" max="214" width="1.85546875" style="64" customWidth="1"/>
    <col min="215" max="217" width="3.28515625" style="64" customWidth="1"/>
    <col min="218" max="218" width="2.85546875" style="64" customWidth="1"/>
    <col min="219" max="219" width="1.85546875" style="64" customWidth="1"/>
    <col min="220" max="220" width="19.7109375" style="64" customWidth="1"/>
    <col min="221" max="221" width="1.85546875" style="64" customWidth="1"/>
    <col min="222" max="224" width="3" style="64" customWidth="1"/>
    <col min="225" max="225" width="4.42578125" style="64" customWidth="1"/>
    <col min="226" max="227" width="3" style="64" customWidth="1"/>
    <col min="228" max="233" width="3.28515625" style="64" customWidth="1"/>
    <col min="234" max="235" width="9.140625" style="64" customWidth="1"/>
    <col min="236" max="239" width="3.28515625" style="64" customWidth="1"/>
    <col min="240" max="240" width="4.140625" style="64" customWidth="1"/>
    <col min="241" max="241" width="1.7109375" style="64" customWidth="1"/>
    <col min="242" max="246" width="3.28515625" style="64" customWidth="1"/>
    <col min="247" max="247" width="1.7109375" style="64" customWidth="1"/>
    <col min="248" max="252" width="3.28515625" style="64" customWidth="1"/>
    <col min="253" max="258" width="9.140625" style="64" customWidth="1"/>
    <col min="259" max="259" width="1.7109375" style="64" customWidth="1"/>
    <col min="260" max="264" width="3.28515625" style="64" customWidth="1"/>
    <col min="265" max="265" width="1.7109375" style="64" customWidth="1"/>
    <col min="266" max="266" width="16.5703125" style="64" bestFit="1" customWidth="1"/>
    <col min="267" max="268" width="10.28515625" style="64" customWidth="1"/>
    <col min="269" max="269" width="18" style="64" bestFit="1" customWidth="1"/>
    <col min="270" max="454" width="9.140625" style="64"/>
    <col min="455" max="462" width="9.140625" style="64" customWidth="1"/>
    <col min="463" max="463" width="10.140625" style="64" customWidth="1"/>
    <col min="464" max="464" width="1" style="64" customWidth="1"/>
    <col min="465" max="467" width="3.28515625" style="64" customWidth="1"/>
    <col min="468" max="468" width="1.85546875" style="64" customWidth="1"/>
    <col min="469" max="469" width="17.85546875" style="64" customWidth="1"/>
    <col min="470" max="470" width="1.85546875" style="64" customWidth="1"/>
    <col min="471" max="473" width="3.28515625" style="64" customWidth="1"/>
    <col min="474" max="474" width="2.85546875" style="64" customWidth="1"/>
    <col min="475" max="475" width="1.85546875" style="64" customWidth="1"/>
    <col min="476" max="476" width="19.7109375" style="64" customWidth="1"/>
    <col min="477" max="477" width="1.85546875" style="64" customWidth="1"/>
    <col min="478" max="480" width="3" style="64" customWidth="1"/>
    <col min="481" max="481" width="4.42578125" style="64" customWidth="1"/>
    <col min="482" max="483" width="3" style="64" customWidth="1"/>
    <col min="484" max="489" width="3.28515625" style="64" customWidth="1"/>
    <col min="490" max="491" width="9.140625" style="64" customWidth="1"/>
    <col min="492" max="495" width="3.28515625" style="64" customWidth="1"/>
    <col min="496" max="496" width="4.140625" style="64" customWidth="1"/>
    <col min="497" max="497" width="1.7109375" style="64" customWidth="1"/>
    <col min="498" max="502" width="3.28515625" style="64" customWidth="1"/>
    <col min="503" max="503" width="1.7109375" style="64" customWidth="1"/>
    <col min="504" max="508" width="3.28515625" style="64" customWidth="1"/>
    <col min="509" max="514" width="9.140625" style="64" customWidth="1"/>
    <col min="515" max="515" width="1.7109375" style="64" customWidth="1"/>
    <col min="516" max="520" width="3.28515625" style="64" customWidth="1"/>
    <col min="521" max="521" width="1.7109375" style="64" customWidth="1"/>
    <col min="522" max="522" width="16.5703125" style="64" bestFit="1" customWidth="1"/>
    <col min="523" max="524" width="10.28515625" style="64" customWidth="1"/>
    <col min="525" max="525" width="18" style="64" bestFit="1" customWidth="1"/>
    <col min="526" max="710" width="9.140625" style="64"/>
    <col min="711" max="718" width="9.140625" style="64" customWidth="1"/>
    <col min="719" max="719" width="10.140625" style="64" customWidth="1"/>
    <col min="720" max="720" width="1" style="64" customWidth="1"/>
    <col min="721" max="723" width="3.28515625" style="64" customWidth="1"/>
    <col min="724" max="724" width="1.85546875" style="64" customWidth="1"/>
    <col min="725" max="725" width="17.85546875" style="64" customWidth="1"/>
    <col min="726" max="726" width="1.85546875" style="64" customWidth="1"/>
    <col min="727" max="729" width="3.28515625" style="64" customWidth="1"/>
    <col min="730" max="730" width="2.85546875" style="64" customWidth="1"/>
    <col min="731" max="731" width="1.85546875" style="64" customWidth="1"/>
    <col min="732" max="732" width="19.7109375" style="64" customWidth="1"/>
    <col min="733" max="733" width="1.85546875" style="64" customWidth="1"/>
    <col min="734" max="736" width="3" style="64" customWidth="1"/>
    <col min="737" max="737" width="4.42578125" style="64" customWidth="1"/>
    <col min="738" max="739" width="3" style="64" customWidth="1"/>
    <col min="740" max="745" width="3.28515625" style="64" customWidth="1"/>
    <col min="746" max="747" width="9.140625" style="64" customWidth="1"/>
    <col min="748" max="751" width="3.28515625" style="64" customWidth="1"/>
    <col min="752" max="752" width="4.140625" style="64" customWidth="1"/>
    <col min="753" max="753" width="1.7109375" style="64" customWidth="1"/>
    <col min="754" max="758" width="3.28515625" style="64" customWidth="1"/>
    <col min="759" max="759" width="1.7109375" style="64" customWidth="1"/>
    <col min="760" max="764" width="3.28515625" style="64" customWidth="1"/>
    <col min="765" max="770" width="9.140625" style="64" customWidth="1"/>
    <col min="771" max="771" width="1.7109375" style="64" customWidth="1"/>
    <col min="772" max="776" width="3.28515625" style="64" customWidth="1"/>
    <col min="777" max="777" width="1.7109375" style="64" customWidth="1"/>
    <col min="778" max="778" width="16.5703125" style="64" bestFit="1" customWidth="1"/>
    <col min="779" max="780" width="10.28515625" style="64" customWidth="1"/>
    <col min="781" max="781" width="18" style="64" bestFit="1" customWidth="1"/>
    <col min="782" max="966" width="9.140625" style="64"/>
    <col min="967" max="974" width="9.140625" style="64" customWidth="1"/>
    <col min="975" max="975" width="10.140625" style="64" customWidth="1"/>
    <col min="976" max="976" width="1" style="64" customWidth="1"/>
    <col min="977" max="979" width="3.28515625" style="64" customWidth="1"/>
    <col min="980" max="980" width="1.85546875" style="64" customWidth="1"/>
    <col min="981" max="981" width="17.85546875" style="64" customWidth="1"/>
    <col min="982" max="982" width="1.85546875" style="64" customWidth="1"/>
    <col min="983" max="985" width="3.28515625" style="64" customWidth="1"/>
    <col min="986" max="986" width="2.85546875" style="64" customWidth="1"/>
    <col min="987" max="987" width="1.85546875" style="64" customWidth="1"/>
    <col min="988" max="988" width="19.7109375" style="64" customWidth="1"/>
    <col min="989" max="989" width="1.85546875" style="64" customWidth="1"/>
    <col min="990" max="992" width="3" style="64" customWidth="1"/>
    <col min="993" max="993" width="4.42578125" style="64" customWidth="1"/>
    <col min="994" max="995" width="3" style="64" customWidth="1"/>
    <col min="996" max="1001" width="3.28515625" style="64" customWidth="1"/>
    <col min="1002" max="1003" width="9.140625" style="64" customWidth="1"/>
    <col min="1004" max="1007" width="3.28515625" style="64" customWidth="1"/>
    <col min="1008" max="1008" width="4.140625" style="64" customWidth="1"/>
    <col min="1009" max="1009" width="1.7109375" style="64" customWidth="1"/>
    <col min="1010" max="1014" width="3.28515625" style="64" customWidth="1"/>
    <col min="1015" max="1015" width="1.7109375" style="64" customWidth="1"/>
    <col min="1016" max="1020" width="3.28515625" style="64" customWidth="1"/>
    <col min="1021" max="1026" width="9.140625" style="64" customWidth="1"/>
    <col min="1027" max="1027" width="1.7109375" style="64" customWidth="1"/>
    <col min="1028" max="1032" width="3.28515625" style="64" customWidth="1"/>
    <col min="1033" max="1033" width="1.7109375" style="64" customWidth="1"/>
    <col min="1034" max="1034" width="16.5703125" style="64" bestFit="1" customWidth="1"/>
    <col min="1035" max="1036" width="10.28515625" style="64" customWidth="1"/>
    <col min="1037" max="1037" width="18" style="64" bestFit="1" customWidth="1"/>
    <col min="1038" max="1222" width="9.140625" style="64"/>
    <col min="1223" max="1230" width="9.140625" style="64" customWidth="1"/>
    <col min="1231" max="1231" width="10.140625" style="64" customWidth="1"/>
    <col min="1232" max="1232" width="1" style="64" customWidth="1"/>
    <col min="1233" max="1235" width="3.28515625" style="64" customWidth="1"/>
    <col min="1236" max="1236" width="1.85546875" style="64" customWidth="1"/>
    <col min="1237" max="1237" width="17.85546875" style="64" customWidth="1"/>
    <col min="1238" max="1238" width="1.85546875" style="64" customWidth="1"/>
    <col min="1239" max="1241" width="3.28515625" style="64" customWidth="1"/>
    <col min="1242" max="1242" width="2.85546875" style="64" customWidth="1"/>
    <col min="1243" max="1243" width="1.85546875" style="64" customWidth="1"/>
    <col min="1244" max="1244" width="19.7109375" style="64" customWidth="1"/>
    <col min="1245" max="1245" width="1.85546875" style="64" customWidth="1"/>
    <col min="1246" max="1248" width="3" style="64" customWidth="1"/>
    <col min="1249" max="1249" width="4.42578125" style="64" customWidth="1"/>
    <col min="1250" max="1251" width="3" style="64" customWidth="1"/>
    <col min="1252" max="1257" width="3.28515625" style="64" customWidth="1"/>
    <col min="1258" max="1259" width="9.140625" style="64" customWidth="1"/>
    <col min="1260" max="1263" width="3.28515625" style="64" customWidth="1"/>
    <col min="1264" max="1264" width="4.140625" style="64" customWidth="1"/>
    <col min="1265" max="1265" width="1.7109375" style="64" customWidth="1"/>
    <col min="1266" max="1270" width="3.28515625" style="64" customWidth="1"/>
    <col min="1271" max="1271" width="1.7109375" style="64" customWidth="1"/>
    <col min="1272" max="1276" width="3.28515625" style="64" customWidth="1"/>
    <col min="1277" max="1282" width="9.140625" style="64" customWidth="1"/>
    <col min="1283" max="1283" width="1.7109375" style="64" customWidth="1"/>
    <col min="1284" max="1288" width="3.28515625" style="64" customWidth="1"/>
    <col min="1289" max="1289" width="1.7109375" style="64" customWidth="1"/>
    <col min="1290" max="1290" width="16.5703125" style="64" bestFit="1" customWidth="1"/>
    <col min="1291" max="1292" width="10.28515625" style="64" customWidth="1"/>
    <col min="1293" max="1293" width="18" style="64" bestFit="1" customWidth="1"/>
    <col min="1294" max="1478" width="9.140625" style="64"/>
    <col min="1479" max="1486" width="9.140625" style="64" customWidth="1"/>
    <col min="1487" max="1487" width="10.140625" style="64" customWidth="1"/>
    <col min="1488" max="1488" width="1" style="64" customWidth="1"/>
    <col min="1489" max="1491" width="3.28515625" style="64" customWidth="1"/>
    <col min="1492" max="1492" width="1.85546875" style="64" customWidth="1"/>
    <col min="1493" max="1493" width="17.85546875" style="64" customWidth="1"/>
    <col min="1494" max="1494" width="1.85546875" style="64" customWidth="1"/>
    <col min="1495" max="1497" width="3.28515625" style="64" customWidth="1"/>
    <col min="1498" max="1498" width="2.85546875" style="64" customWidth="1"/>
    <col min="1499" max="1499" width="1.85546875" style="64" customWidth="1"/>
    <col min="1500" max="1500" width="19.7109375" style="64" customWidth="1"/>
    <col min="1501" max="1501" width="1.85546875" style="64" customWidth="1"/>
    <col min="1502" max="1504" width="3" style="64" customWidth="1"/>
    <col min="1505" max="1505" width="4.42578125" style="64" customWidth="1"/>
    <col min="1506" max="1507" width="3" style="64" customWidth="1"/>
    <col min="1508" max="1513" width="3.28515625" style="64" customWidth="1"/>
    <col min="1514" max="1515" width="9.140625" style="64" customWidth="1"/>
    <col min="1516" max="1519" width="3.28515625" style="64" customWidth="1"/>
    <col min="1520" max="1520" width="4.140625" style="64" customWidth="1"/>
    <col min="1521" max="1521" width="1.7109375" style="64" customWidth="1"/>
    <col min="1522" max="1526" width="3.28515625" style="64" customWidth="1"/>
    <col min="1527" max="1527" width="1.7109375" style="64" customWidth="1"/>
    <col min="1528" max="1532" width="3.28515625" style="64" customWidth="1"/>
    <col min="1533" max="1538" width="9.140625" style="64" customWidth="1"/>
    <col min="1539" max="1539" width="1.7109375" style="64" customWidth="1"/>
    <col min="1540" max="1544" width="3.28515625" style="64" customWidth="1"/>
    <col min="1545" max="1545" width="1.7109375" style="64" customWidth="1"/>
    <col min="1546" max="1546" width="16.5703125" style="64" bestFit="1" customWidth="1"/>
    <col min="1547" max="1548" width="10.28515625" style="64" customWidth="1"/>
    <col min="1549" max="1549" width="18" style="64" bestFit="1" customWidth="1"/>
    <col min="1550" max="1734" width="9.140625" style="64"/>
    <col min="1735" max="1742" width="9.140625" style="64" customWidth="1"/>
    <col min="1743" max="1743" width="10.140625" style="64" customWidth="1"/>
    <col min="1744" max="1744" width="1" style="64" customWidth="1"/>
    <col min="1745" max="1747" width="3.28515625" style="64" customWidth="1"/>
    <col min="1748" max="1748" width="1.85546875" style="64" customWidth="1"/>
    <col min="1749" max="1749" width="17.85546875" style="64" customWidth="1"/>
    <col min="1750" max="1750" width="1.85546875" style="64" customWidth="1"/>
    <col min="1751" max="1753" width="3.28515625" style="64" customWidth="1"/>
    <col min="1754" max="1754" width="2.85546875" style="64" customWidth="1"/>
    <col min="1755" max="1755" width="1.85546875" style="64" customWidth="1"/>
    <col min="1756" max="1756" width="19.7109375" style="64" customWidth="1"/>
    <col min="1757" max="1757" width="1.85546875" style="64" customWidth="1"/>
    <col min="1758" max="1760" width="3" style="64" customWidth="1"/>
    <col min="1761" max="1761" width="4.42578125" style="64" customWidth="1"/>
    <col min="1762" max="1763" width="3" style="64" customWidth="1"/>
    <col min="1764" max="1769" width="3.28515625" style="64" customWidth="1"/>
    <col min="1770" max="1771" width="9.140625" style="64" customWidth="1"/>
    <col min="1772" max="1775" width="3.28515625" style="64" customWidth="1"/>
    <col min="1776" max="1776" width="4.140625" style="64" customWidth="1"/>
    <col min="1777" max="1777" width="1.7109375" style="64" customWidth="1"/>
    <col min="1778" max="1782" width="3.28515625" style="64" customWidth="1"/>
    <col min="1783" max="1783" width="1.7109375" style="64" customWidth="1"/>
    <col min="1784" max="1788" width="3.28515625" style="64" customWidth="1"/>
    <col min="1789" max="1794" width="9.140625" style="64" customWidth="1"/>
    <col min="1795" max="1795" width="1.7109375" style="64" customWidth="1"/>
    <col min="1796" max="1800" width="3.28515625" style="64" customWidth="1"/>
    <col min="1801" max="1801" width="1.7109375" style="64" customWidth="1"/>
    <col min="1802" max="1802" width="16.5703125" style="64" bestFit="1" customWidth="1"/>
    <col min="1803" max="1804" width="10.28515625" style="64" customWidth="1"/>
    <col min="1805" max="1805" width="18" style="64" bestFit="1" customWidth="1"/>
    <col min="1806" max="1990" width="9.140625" style="64"/>
    <col min="1991" max="1998" width="9.140625" style="64" customWidth="1"/>
    <col min="1999" max="1999" width="10.140625" style="64" customWidth="1"/>
    <col min="2000" max="2000" width="1" style="64" customWidth="1"/>
    <col min="2001" max="2003" width="3.28515625" style="64" customWidth="1"/>
    <col min="2004" max="2004" width="1.85546875" style="64" customWidth="1"/>
    <col min="2005" max="2005" width="17.85546875" style="64" customWidth="1"/>
    <col min="2006" max="2006" width="1.85546875" style="64" customWidth="1"/>
    <col min="2007" max="2009" width="3.28515625" style="64" customWidth="1"/>
    <col min="2010" max="2010" width="2.85546875" style="64" customWidth="1"/>
    <col min="2011" max="2011" width="1.85546875" style="64" customWidth="1"/>
    <col min="2012" max="2012" width="19.7109375" style="64" customWidth="1"/>
    <col min="2013" max="2013" width="1.85546875" style="64" customWidth="1"/>
    <col min="2014" max="2016" width="3" style="64" customWidth="1"/>
    <col min="2017" max="2017" width="4.42578125" style="64" customWidth="1"/>
    <col min="2018" max="2019" width="3" style="64" customWidth="1"/>
    <col min="2020" max="2025" width="3.28515625" style="64" customWidth="1"/>
    <col min="2026" max="2027" width="9.140625" style="64" customWidth="1"/>
    <col min="2028" max="2031" width="3.28515625" style="64" customWidth="1"/>
    <col min="2032" max="2032" width="4.140625" style="64" customWidth="1"/>
    <col min="2033" max="2033" width="1.7109375" style="64" customWidth="1"/>
    <col min="2034" max="2038" width="3.28515625" style="64" customWidth="1"/>
    <col min="2039" max="2039" width="1.7109375" style="64" customWidth="1"/>
    <col min="2040" max="2044" width="3.28515625" style="64" customWidth="1"/>
    <col min="2045" max="2050" width="9.140625" style="64" customWidth="1"/>
    <col min="2051" max="2051" width="1.7109375" style="64" customWidth="1"/>
    <col min="2052" max="2056" width="3.28515625" style="64" customWidth="1"/>
    <col min="2057" max="2057" width="1.7109375" style="64" customWidth="1"/>
    <col min="2058" max="2058" width="16.5703125" style="64" bestFit="1" customWidth="1"/>
    <col min="2059" max="2060" width="10.28515625" style="64" customWidth="1"/>
    <col min="2061" max="2061" width="18" style="64" bestFit="1" customWidth="1"/>
    <col min="2062" max="2246" width="9.140625" style="64"/>
    <col min="2247" max="2254" width="9.140625" style="64" customWidth="1"/>
    <col min="2255" max="2255" width="10.140625" style="64" customWidth="1"/>
    <col min="2256" max="2256" width="1" style="64" customWidth="1"/>
    <col min="2257" max="2259" width="3.28515625" style="64" customWidth="1"/>
    <col min="2260" max="2260" width="1.85546875" style="64" customWidth="1"/>
    <col min="2261" max="2261" width="17.85546875" style="64" customWidth="1"/>
    <col min="2262" max="2262" width="1.85546875" style="64" customWidth="1"/>
    <col min="2263" max="2265" width="3.28515625" style="64" customWidth="1"/>
    <col min="2266" max="2266" width="2.85546875" style="64" customWidth="1"/>
    <col min="2267" max="2267" width="1.85546875" style="64" customWidth="1"/>
    <col min="2268" max="2268" width="19.7109375" style="64" customWidth="1"/>
    <col min="2269" max="2269" width="1.85546875" style="64" customWidth="1"/>
    <col min="2270" max="2272" width="3" style="64" customWidth="1"/>
    <col min="2273" max="2273" width="4.42578125" style="64" customWidth="1"/>
    <col min="2274" max="2275" width="3" style="64" customWidth="1"/>
    <col min="2276" max="2281" width="3.28515625" style="64" customWidth="1"/>
    <col min="2282" max="2283" width="9.140625" style="64" customWidth="1"/>
    <col min="2284" max="2287" width="3.28515625" style="64" customWidth="1"/>
    <col min="2288" max="2288" width="4.140625" style="64" customWidth="1"/>
    <col min="2289" max="2289" width="1.7109375" style="64" customWidth="1"/>
    <col min="2290" max="2294" width="3.28515625" style="64" customWidth="1"/>
    <col min="2295" max="2295" width="1.7109375" style="64" customWidth="1"/>
    <col min="2296" max="2300" width="3.28515625" style="64" customWidth="1"/>
    <col min="2301" max="2306" width="9.140625" style="64" customWidth="1"/>
    <col min="2307" max="2307" width="1.7109375" style="64" customWidth="1"/>
    <col min="2308" max="2312" width="3.28515625" style="64" customWidth="1"/>
    <col min="2313" max="2313" width="1.7109375" style="64" customWidth="1"/>
    <col min="2314" max="2314" width="16.5703125" style="64" bestFit="1" customWidth="1"/>
    <col min="2315" max="2316" width="10.28515625" style="64" customWidth="1"/>
    <col min="2317" max="2317" width="18" style="64" bestFit="1" customWidth="1"/>
    <col min="2318" max="2502" width="9.140625" style="64"/>
    <col min="2503" max="2510" width="9.140625" style="64" customWidth="1"/>
    <col min="2511" max="2511" width="10.140625" style="64" customWidth="1"/>
    <col min="2512" max="2512" width="1" style="64" customWidth="1"/>
    <col min="2513" max="2515" width="3.28515625" style="64" customWidth="1"/>
    <col min="2516" max="2516" width="1.85546875" style="64" customWidth="1"/>
    <col min="2517" max="2517" width="17.85546875" style="64" customWidth="1"/>
    <col min="2518" max="2518" width="1.85546875" style="64" customWidth="1"/>
    <col min="2519" max="2521" width="3.28515625" style="64" customWidth="1"/>
    <col min="2522" max="2522" width="2.85546875" style="64" customWidth="1"/>
    <col min="2523" max="2523" width="1.85546875" style="64" customWidth="1"/>
    <col min="2524" max="2524" width="19.7109375" style="64" customWidth="1"/>
    <col min="2525" max="2525" width="1.85546875" style="64" customWidth="1"/>
    <col min="2526" max="2528" width="3" style="64" customWidth="1"/>
    <col min="2529" max="2529" width="4.42578125" style="64" customWidth="1"/>
    <col min="2530" max="2531" width="3" style="64" customWidth="1"/>
    <col min="2532" max="2537" width="3.28515625" style="64" customWidth="1"/>
    <col min="2538" max="2539" width="9.140625" style="64" customWidth="1"/>
    <col min="2540" max="2543" width="3.28515625" style="64" customWidth="1"/>
    <col min="2544" max="2544" width="4.140625" style="64" customWidth="1"/>
    <col min="2545" max="2545" width="1.7109375" style="64" customWidth="1"/>
    <col min="2546" max="2550" width="3.28515625" style="64" customWidth="1"/>
    <col min="2551" max="2551" width="1.7109375" style="64" customWidth="1"/>
    <col min="2552" max="2556" width="3.28515625" style="64" customWidth="1"/>
    <col min="2557" max="2562" width="9.140625" style="64" customWidth="1"/>
    <col min="2563" max="2563" width="1.7109375" style="64" customWidth="1"/>
    <col min="2564" max="2568" width="3.28515625" style="64" customWidth="1"/>
    <col min="2569" max="2569" width="1.7109375" style="64" customWidth="1"/>
    <col min="2570" max="2570" width="16.5703125" style="64" bestFit="1" customWidth="1"/>
    <col min="2571" max="2572" width="10.28515625" style="64" customWidth="1"/>
    <col min="2573" max="2573" width="18" style="64" bestFit="1" customWidth="1"/>
    <col min="2574" max="2758" width="9.140625" style="64"/>
    <col min="2759" max="2766" width="9.140625" style="64" customWidth="1"/>
    <col min="2767" max="2767" width="10.140625" style="64" customWidth="1"/>
    <col min="2768" max="2768" width="1" style="64" customWidth="1"/>
    <col min="2769" max="2771" width="3.28515625" style="64" customWidth="1"/>
    <col min="2772" max="2772" width="1.85546875" style="64" customWidth="1"/>
    <col min="2773" max="2773" width="17.85546875" style="64" customWidth="1"/>
    <col min="2774" max="2774" width="1.85546875" style="64" customWidth="1"/>
    <col min="2775" max="2777" width="3.28515625" style="64" customWidth="1"/>
    <col min="2778" max="2778" width="2.85546875" style="64" customWidth="1"/>
    <col min="2779" max="2779" width="1.85546875" style="64" customWidth="1"/>
    <col min="2780" max="2780" width="19.7109375" style="64" customWidth="1"/>
    <col min="2781" max="2781" width="1.85546875" style="64" customWidth="1"/>
    <col min="2782" max="2784" width="3" style="64" customWidth="1"/>
    <col min="2785" max="2785" width="4.42578125" style="64" customWidth="1"/>
    <col min="2786" max="2787" width="3" style="64" customWidth="1"/>
    <col min="2788" max="2793" width="3.28515625" style="64" customWidth="1"/>
    <col min="2794" max="2795" width="9.140625" style="64" customWidth="1"/>
    <col min="2796" max="2799" width="3.28515625" style="64" customWidth="1"/>
    <col min="2800" max="2800" width="4.140625" style="64" customWidth="1"/>
    <col min="2801" max="2801" width="1.7109375" style="64" customWidth="1"/>
    <col min="2802" max="2806" width="3.28515625" style="64" customWidth="1"/>
    <col min="2807" max="2807" width="1.7109375" style="64" customWidth="1"/>
    <col min="2808" max="2812" width="3.28515625" style="64" customWidth="1"/>
    <col min="2813" max="2818" width="9.140625" style="64" customWidth="1"/>
    <col min="2819" max="2819" width="1.7109375" style="64" customWidth="1"/>
    <col min="2820" max="2824" width="3.28515625" style="64" customWidth="1"/>
    <col min="2825" max="2825" width="1.7109375" style="64" customWidth="1"/>
    <col min="2826" max="2826" width="16.5703125" style="64" bestFit="1" customWidth="1"/>
    <col min="2827" max="2828" width="10.28515625" style="64" customWidth="1"/>
    <col min="2829" max="2829" width="18" style="64" bestFit="1" customWidth="1"/>
    <col min="2830" max="3014" width="9.140625" style="64"/>
    <col min="3015" max="3022" width="9.140625" style="64" customWidth="1"/>
    <col min="3023" max="3023" width="10.140625" style="64" customWidth="1"/>
    <col min="3024" max="3024" width="1" style="64" customWidth="1"/>
    <col min="3025" max="3027" width="3.28515625" style="64" customWidth="1"/>
    <col min="3028" max="3028" width="1.85546875" style="64" customWidth="1"/>
    <col min="3029" max="3029" width="17.85546875" style="64" customWidth="1"/>
    <col min="3030" max="3030" width="1.85546875" style="64" customWidth="1"/>
    <col min="3031" max="3033" width="3.28515625" style="64" customWidth="1"/>
    <col min="3034" max="3034" width="2.85546875" style="64" customWidth="1"/>
    <col min="3035" max="3035" width="1.85546875" style="64" customWidth="1"/>
    <col min="3036" max="3036" width="19.7109375" style="64" customWidth="1"/>
    <col min="3037" max="3037" width="1.85546875" style="64" customWidth="1"/>
    <col min="3038" max="3040" width="3" style="64" customWidth="1"/>
    <col min="3041" max="3041" width="4.42578125" style="64" customWidth="1"/>
    <col min="3042" max="3043" width="3" style="64" customWidth="1"/>
    <col min="3044" max="3049" width="3.28515625" style="64" customWidth="1"/>
    <col min="3050" max="3051" width="9.140625" style="64" customWidth="1"/>
    <col min="3052" max="3055" width="3.28515625" style="64" customWidth="1"/>
    <col min="3056" max="3056" width="4.140625" style="64" customWidth="1"/>
    <col min="3057" max="3057" width="1.7109375" style="64" customWidth="1"/>
    <col min="3058" max="3062" width="3.28515625" style="64" customWidth="1"/>
    <col min="3063" max="3063" width="1.7109375" style="64" customWidth="1"/>
    <col min="3064" max="3068" width="3.28515625" style="64" customWidth="1"/>
    <col min="3069" max="3074" width="9.140625" style="64" customWidth="1"/>
    <col min="3075" max="3075" width="1.7109375" style="64" customWidth="1"/>
    <col min="3076" max="3080" width="3.28515625" style="64" customWidth="1"/>
    <col min="3081" max="3081" width="1.7109375" style="64" customWidth="1"/>
    <col min="3082" max="3082" width="16.5703125" style="64" bestFit="1" customWidth="1"/>
    <col min="3083" max="3084" width="10.28515625" style="64" customWidth="1"/>
    <col min="3085" max="3085" width="18" style="64" bestFit="1" customWidth="1"/>
    <col min="3086" max="3270" width="9.140625" style="64"/>
    <col min="3271" max="3278" width="9.140625" style="64" customWidth="1"/>
    <col min="3279" max="3279" width="10.140625" style="64" customWidth="1"/>
    <col min="3280" max="3280" width="1" style="64" customWidth="1"/>
    <col min="3281" max="3283" width="3.28515625" style="64" customWidth="1"/>
    <col min="3284" max="3284" width="1.85546875" style="64" customWidth="1"/>
    <col min="3285" max="3285" width="17.85546875" style="64" customWidth="1"/>
    <col min="3286" max="3286" width="1.85546875" style="64" customWidth="1"/>
    <col min="3287" max="3289" width="3.28515625" style="64" customWidth="1"/>
    <col min="3290" max="3290" width="2.85546875" style="64" customWidth="1"/>
    <col min="3291" max="3291" width="1.85546875" style="64" customWidth="1"/>
    <col min="3292" max="3292" width="19.7109375" style="64" customWidth="1"/>
    <col min="3293" max="3293" width="1.85546875" style="64" customWidth="1"/>
    <col min="3294" max="3296" width="3" style="64" customWidth="1"/>
    <col min="3297" max="3297" width="4.42578125" style="64" customWidth="1"/>
    <col min="3298" max="3299" width="3" style="64" customWidth="1"/>
    <col min="3300" max="3305" width="3.28515625" style="64" customWidth="1"/>
    <col min="3306" max="3307" width="9.140625" style="64" customWidth="1"/>
    <col min="3308" max="3311" width="3.28515625" style="64" customWidth="1"/>
    <col min="3312" max="3312" width="4.140625" style="64" customWidth="1"/>
    <col min="3313" max="3313" width="1.7109375" style="64" customWidth="1"/>
    <col min="3314" max="3318" width="3.28515625" style="64" customWidth="1"/>
    <col min="3319" max="3319" width="1.7109375" style="64" customWidth="1"/>
    <col min="3320" max="3324" width="3.28515625" style="64" customWidth="1"/>
    <col min="3325" max="3330" width="9.140625" style="64" customWidth="1"/>
    <col min="3331" max="3331" width="1.7109375" style="64" customWidth="1"/>
    <col min="3332" max="3336" width="3.28515625" style="64" customWidth="1"/>
    <col min="3337" max="3337" width="1.7109375" style="64" customWidth="1"/>
    <col min="3338" max="3338" width="16.5703125" style="64" bestFit="1" customWidth="1"/>
    <col min="3339" max="3340" width="10.28515625" style="64" customWidth="1"/>
    <col min="3341" max="3341" width="18" style="64" bestFit="1" customWidth="1"/>
    <col min="3342" max="3526" width="9.140625" style="64"/>
    <col min="3527" max="3534" width="9.140625" style="64" customWidth="1"/>
    <col min="3535" max="3535" width="10.140625" style="64" customWidth="1"/>
    <col min="3536" max="3536" width="1" style="64" customWidth="1"/>
    <col min="3537" max="3539" width="3.28515625" style="64" customWidth="1"/>
    <col min="3540" max="3540" width="1.85546875" style="64" customWidth="1"/>
    <col min="3541" max="3541" width="17.85546875" style="64" customWidth="1"/>
    <col min="3542" max="3542" width="1.85546875" style="64" customWidth="1"/>
    <col min="3543" max="3545" width="3.28515625" style="64" customWidth="1"/>
    <col min="3546" max="3546" width="2.85546875" style="64" customWidth="1"/>
    <col min="3547" max="3547" width="1.85546875" style="64" customWidth="1"/>
    <col min="3548" max="3548" width="19.7109375" style="64" customWidth="1"/>
    <col min="3549" max="3549" width="1.85546875" style="64" customWidth="1"/>
    <col min="3550" max="3552" width="3" style="64" customWidth="1"/>
    <col min="3553" max="3553" width="4.42578125" style="64" customWidth="1"/>
    <col min="3554" max="3555" width="3" style="64" customWidth="1"/>
    <col min="3556" max="3561" width="3.28515625" style="64" customWidth="1"/>
    <col min="3562" max="3563" width="9.140625" style="64" customWidth="1"/>
    <col min="3564" max="3567" width="3.28515625" style="64" customWidth="1"/>
    <col min="3568" max="3568" width="4.140625" style="64" customWidth="1"/>
    <col min="3569" max="3569" width="1.7109375" style="64" customWidth="1"/>
    <col min="3570" max="3574" width="3.28515625" style="64" customWidth="1"/>
    <col min="3575" max="3575" width="1.7109375" style="64" customWidth="1"/>
    <col min="3576" max="3580" width="3.28515625" style="64" customWidth="1"/>
    <col min="3581" max="3586" width="9.140625" style="64" customWidth="1"/>
    <col min="3587" max="3587" width="1.7109375" style="64" customWidth="1"/>
    <col min="3588" max="3592" width="3.28515625" style="64" customWidth="1"/>
    <col min="3593" max="3593" width="1.7109375" style="64" customWidth="1"/>
    <col min="3594" max="3594" width="16.5703125" style="64" bestFit="1" customWidth="1"/>
    <col min="3595" max="3596" width="10.28515625" style="64" customWidth="1"/>
    <col min="3597" max="3597" width="18" style="64" bestFit="1" customWidth="1"/>
    <col min="3598" max="3782" width="9.140625" style="64"/>
    <col min="3783" max="3790" width="9.140625" style="64" customWidth="1"/>
    <col min="3791" max="3791" width="10.140625" style="64" customWidth="1"/>
    <col min="3792" max="3792" width="1" style="64" customWidth="1"/>
    <col min="3793" max="3795" width="3.28515625" style="64" customWidth="1"/>
    <col min="3796" max="3796" width="1.85546875" style="64" customWidth="1"/>
    <col min="3797" max="3797" width="17.85546875" style="64" customWidth="1"/>
    <col min="3798" max="3798" width="1.85546875" style="64" customWidth="1"/>
    <col min="3799" max="3801" width="3.28515625" style="64" customWidth="1"/>
    <col min="3802" max="3802" width="2.85546875" style="64" customWidth="1"/>
    <col min="3803" max="3803" width="1.85546875" style="64" customWidth="1"/>
    <col min="3804" max="3804" width="19.7109375" style="64" customWidth="1"/>
    <col min="3805" max="3805" width="1.85546875" style="64" customWidth="1"/>
    <col min="3806" max="3808" width="3" style="64" customWidth="1"/>
    <col min="3809" max="3809" width="4.42578125" style="64" customWidth="1"/>
    <col min="3810" max="3811" width="3" style="64" customWidth="1"/>
    <col min="3812" max="3817" width="3.28515625" style="64" customWidth="1"/>
    <col min="3818" max="3819" width="9.140625" style="64" customWidth="1"/>
    <col min="3820" max="3823" width="3.28515625" style="64" customWidth="1"/>
    <col min="3824" max="3824" width="4.140625" style="64" customWidth="1"/>
    <col min="3825" max="3825" width="1.7109375" style="64" customWidth="1"/>
    <col min="3826" max="3830" width="3.28515625" style="64" customWidth="1"/>
    <col min="3831" max="3831" width="1.7109375" style="64" customWidth="1"/>
    <col min="3832" max="3836" width="3.28515625" style="64" customWidth="1"/>
    <col min="3837" max="3842" width="9.140625" style="64" customWidth="1"/>
    <col min="3843" max="3843" width="1.7109375" style="64" customWidth="1"/>
    <col min="3844" max="3848" width="3.28515625" style="64" customWidth="1"/>
    <col min="3849" max="3849" width="1.7109375" style="64" customWidth="1"/>
    <col min="3850" max="3850" width="16.5703125" style="64" bestFit="1" customWidth="1"/>
    <col min="3851" max="3852" width="10.28515625" style="64" customWidth="1"/>
    <col min="3853" max="3853" width="18" style="64" bestFit="1" customWidth="1"/>
    <col min="3854" max="4038" width="9.140625" style="64"/>
    <col min="4039" max="4046" width="9.140625" style="64" customWidth="1"/>
    <col min="4047" max="4047" width="10.140625" style="64" customWidth="1"/>
    <col min="4048" max="4048" width="1" style="64" customWidth="1"/>
    <col min="4049" max="4051" width="3.28515625" style="64" customWidth="1"/>
    <col min="4052" max="4052" width="1.85546875" style="64" customWidth="1"/>
    <col min="4053" max="4053" width="17.85546875" style="64" customWidth="1"/>
    <col min="4054" max="4054" width="1.85546875" style="64" customWidth="1"/>
    <col min="4055" max="4057" width="3.28515625" style="64" customWidth="1"/>
    <col min="4058" max="4058" width="2.85546875" style="64" customWidth="1"/>
    <col min="4059" max="4059" width="1.85546875" style="64" customWidth="1"/>
    <col min="4060" max="4060" width="19.7109375" style="64" customWidth="1"/>
    <col min="4061" max="4061" width="1.85546875" style="64" customWidth="1"/>
    <col min="4062" max="4064" width="3" style="64" customWidth="1"/>
    <col min="4065" max="4065" width="4.42578125" style="64" customWidth="1"/>
    <col min="4066" max="4067" width="3" style="64" customWidth="1"/>
    <col min="4068" max="4073" width="3.28515625" style="64" customWidth="1"/>
    <col min="4074" max="4075" width="9.140625" style="64" customWidth="1"/>
    <col min="4076" max="4079" width="3.28515625" style="64" customWidth="1"/>
    <col min="4080" max="4080" width="4.140625" style="64" customWidth="1"/>
    <col min="4081" max="4081" width="1.7109375" style="64" customWidth="1"/>
    <col min="4082" max="4086" width="3.28515625" style="64" customWidth="1"/>
    <col min="4087" max="4087" width="1.7109375" style="64" customWidth="1"/>
    <col min="4088" max="4092" width="3.28515625" style="64" customWidth="1"/>
    <col min="4093" max="4098" width="9.140625" style="64" customWidth="1"/>
    <col min="4099" max="4099" width="1.7109375" style="64" customWidth="1"/>
    <col min="4100" max="4104" width="3.28515625" style="64" customWidth="1"/>
    <col min="4105" max="4105" width="1.7109375" style="64" customWidth="1"/>
    <col min="4106" max="4106" width="16.5703125" style="64" bestFit="1" customWidth="1"/>
    <col min="4107" max="4108" width="10.28515625" style="64" customWidth="1"/>
    <col min="4109" max="4109" width="18" style="64" bestFit="1" customWidth="1"/>
    <col min="4110" max="4294" width="9.140625" style="64"/>
    <col min="4295" max="4302" width="9.140625" style="64" customWidth="1"/>
    <col min="4303" max="4303" width="10.140625" style="64" customWidth="1"/>
    <col min="4304" max="4304" width="1" style="64" customWidth="1"/>
    <col min="4305" max="4307" width="3.28515625" style="64" customWidth="1"/>
    <col min="4308" max="4308" width="1.85546875" style="64" customWidth="1"/>
    <col min="4309" max="4309" width="17.85546875" style="64" customWidth="1"/>
    <col min="4310" max="4310" width="1.85546875" style="64" customWidth="1"/>
    <col min="4311" max="4313" width="3.28515625" style="64" customWidth="1"/>
    <col min="4314" max="4314" width="2.85546875" style="64" customWidth="1"/>
    <col min="4315" max="4315" width="1.85546875" style="64" customWidth="1"/>
    <col min="4316" max="4316" width="19.7109375" style="64" customWidth="1"/>
    <col min="4317" max="4317" width="1.85546875" style="64" customWidth="1"/>
    <col min="4318" max="4320" width="3" style="64" customWidth="1"/>
    <col min="4321" max="4321" width="4.42578125" style="64" customWidth="1"/>
    <col min="4322" max="4323" width="3" style="64" customWidth="1"/>
    <col min="4324" max="4329" width="3.28515625" style="64" customWidth="1"/>
    <col min="4330" max="4331" width="9.140625" style="64" customWidth="1"/>
    <col min="4332" max="4335" width="3.28515625" style="64" customWidth="1"/>
    <col min="4336" max="4336" width="4.140625" style="64" customWidth="1"/>
    <col min="4337" max="4337" width="1.7109375" style="64" customWidth="1"/>
    <col min="4338" max="4342" width="3.28515625" style="64" customWidth="1"/>
    <col min="4343" max="4343" width="1.7109375" style="64" customWidth="1"/>
    <col min="4344" max="4348" width="3.28515625" style="64" customWidth="1"/>
    <col min="4349" max="4354" width="9.140625" style="64" customWidth="1"/>
    <col min="4355" max="4355" width="1.7109375" style="64" customWidth="1"/>
    <col min="4356" max="4360" width="3.28515625" style="64" customWidth="1"/>
    <col min="4361" max="4361" width="1.7109375" style="64" customWidth="1"/>
    <col min="4362" max="4362" width="16.5703125" style="64" bestFit="1" customWidth="1"/>
    <col min="4363" max="4364" width="10.28515625" style="64" customWidth="1"/>
    <col min="4365" max="4365" width="18" style="64" bestFit="1" customWidth="1"/>
    <col min="4366" max="4550" width="9.140625" style="64"/>
    <col min="4551" max="4558" width="9.140625" style="64" customWidth="1"/>
    <col min="4559" max="4559" width="10.140625" style="64" customWidth="1"/>
    <col min="4560" max="4560" width="1" style="64" customWidth="1"/>
    <col min="4561" max="4563" width="3.28515625" style="64" customWidth="1"/>
    <col min="4564" max="4564" width="1.85546875" style="64" customWidth="1"/>
    <col min="4565" max="4565" width="17.85546875" style="64" customWidth="1"/>
    <col min="4566" max="4566" width="1.85546875" style="64" customWidth="1"/>
    <col min="4567" max="4569" width="3.28515625" style="64" customWidth="1"/>
    <col min="4570" max="4570" width="2.85546875" style="64" customWidth="1"/>
    <col min="4571" max="4571" width="1.85546875" style="64" customWidth="1"/>
    <col min="4572" max="4572" width="19.7109375" style="64" customWidth="1"/>
    <col min="4573" max="4573" width="1.85546875" style="64" customWidth="1"/>
    <col min="4574" max="4576" width="3" style="64" customWidth="1"/>
    <col min="4577" max="4577" width="4.42578125" style="64" customWidth="1"/>
    <col min="4578" max="4579" width="3" style="64" customWidth="1"/>
    <col min="4580" max="4585" width="3.28515625" style="64" customWidth="1"/>
    <col min="4586" max="4587" width="9.140625" style="64" customWidth="1"/>
    <col min="4588" max="4591" width="3.28515625" style="64" customWidth="1"/>
    <col min="4592" max="4592" width="4.140625" style="64" customWidth="1"/>
    <col min="4593" max="4593" width="1.7109375" style="64" customWidth="1"/>
    <col min="4594" max="4598" width="3.28515625" style="64" customWidth="1"/>
    <col min="4599" max="4599" width="1.7109375" style="64" customWidth="1"/>
    <col min="4600" max="4604" width="3.28515625" style="64" customWidth="1"/>
    <col min="4605" max="4610" width="9.140625" style="64" customWidth="1"/>
    <col min="4611" max="4611" width="1.7109375" style="64" customWidth="1"/>
    <col min="4612" max="4616" width="3.28515625" style="64" customWidth="1"/>
    <col min="4617" max="4617" width="1.7109375" style="64" customWidth="1"/>
    <col min="4618" max="4618" width="16.5703125" style="64" bestFit="1" customWidth="1"/>
    <col min="4619" max="4620" width="10.28515625" style="64" customWidth="1"/>
    <col min="4621" max="4621" width="18" style="64" bestFit="1" customWidth="1"/>
    <col min="4622" max="4806" width="9.140625" style="64"/>
    <col min="4807" max="4814" width="9.140625" style="64" customWidth="1"/>
    <col min="4815" max="4815" width="10.140625" style="64" customWidth="1"/>
    <col min="4816" max="4816" width="1" style="64" customWidth="1"/>
    <col min="4817" max="4819" width="3.28515625" style="64" customWidth="1"/>
    <col min="4820" max="4820" width="1.85546875" style="64" customWidth="1"/>
    <col min="4821" max="4821" width="17.85546875" style="64" customWidth="1"/>
    <col min="4822" max="4822" width="1.85546875" style="64" customWidth="1"/>
    <col min="4823" max="4825" width="3.28515625" style="64" customWidth="1"/>
    <col min="4826" max="4826" width="2.85546875" style="64" customWidth="1"/>
    <col min="4827" max="4827" width="1.85546875" style="64" customWidth="1"/>
    <col min="4828" max="4828" width="19.7109375" style="64" customWidth="1"/>
    <col min="4829" max="4829" width="1.85546875" style="64" customWidth="1"/>
    <col min="4830" max="4832" width="3" style="64" customWidth="1"/>
    <col min="4833" max="4833" width="4.42578125" style="64" customWidth="1"/>
    <col min="4834" max="4835" width="3" style="64" customWidth="1"/>
    <col min="4836" max="4841" width="3.28515625" style="64" customWidth="1"/>
    <col min="4842" max="4843" width="9.140625" style="64" customWidth="1"/>
    <col min="4844" max="4847" width="3.28515625" style="64" customWidth="1"/>
    <col min="4848" max="4848" width="4.140625" style="64" customWidth="1"/>
    <col min="4849" max="4849" width="1.7109375" style="64" customWidth="1"/>
    <col min="4850" max="4854" width="3.28515625" style="64" customWidth="1"/>
    <col min="4855" max="4855" width="1.7109375" style="64" customWidth="1"/>
    <col min="4856" max="4860" width="3.28515625" style="64" customWidth="1"/>
    <col min="4861" max="4866" width="9.140625" style="64" customWidth="1"/>
    <col min="4867" max="4867" width="1.7109375" style="64" customWidth="1"/>
    <col min="4868" max="4872" width="3.28515625" style="64" customWidth="1"/>
    <col min="4873" max="4873" width="1.7109375" style="64" customWidth="1"/>
    <col min="4874" max="4874" width="16.5703125" style="64" bestFit="1" customWidth="1"/>
    <col min="4875" max="4876" width="10.28515625" style="64" customWidth="1"/>
    <col min="4877" max="4877" width="18" style="64" bestFit="1" customWidth="1"/>
    <col min="4878" max="5062" width="9.140625" style="64"/>
    <col min="5063" max="5070" width="9.140625" style="64" customWidth="1"/>
    <col min="5071" max="5071" width="10.140625" style="64" customWidth="1"/>
    <col min="5072" max="5072" width="1" style="64" customWidth="1"/>
    <col min="5073" max="5075" width="3.28515625" style="64" customWidth="1"/>
    <col min="5076" max="5076" width="1.85546875" style="64" customWidth="1"/>
    <col min="5077" max="5077" width="17.85546875" style="64" customWidth="1"/>
    <col min="5078" max="5078" width="1.85546875" style="64" customWidth="1"/>
    <col min="5079" max="5081" width="3.28515625" style="64" customWidth="1"/>
    <col min="5082" max="5082" width="2.85546875" style="64" customWidth="1"/>
    <col min="5083" max="5083" width="1.85546875" style="64" customWidth="1"/>
    <col min="5084" max="5084" width="19.7109375" style="64" customWidth="1"/>
    <col min="5085" max="5085" width="1.85546875" style="64" customWidth="1"/>
    <col min="5086" max="5088" width="3" style="64" customWidth="1"/>
    <col min="5089" max="5089" width="4.42578125" style="64" customWidth="1"/>
    <col min="5090" max="5091" width="3" style="64" customWidth="1"/>
    <col min="5092" max="5097" width="3.28515625" style="64" customWidth="1"/>
    <col min="5098" max="5099" width="9.140625" style="64" customWidth="1"/>
    <col min="5100" max="5103" width="3.28515625" style="64" customWidth="1"/>
    <col min="5104" max="5104" width="4.140625" style="64" customWidth="1"/>
    <col min="5105" max="5105" width="1.7109375" style="64" customWidth="1"/>
    <col min="5106" max="5110" width="3.28515625" style="64" customWidth="1"/>
    <col min="5111" max="5111" width="1.7109375" style="64" customWidth="1"/>
    <col min="5112" max="5116" width="3.28515625" style="64" customWidth="1"/>
    <col min="5117" max="5122" width="9.140625" style="64" customWidth="1"/>
    <col min="5123" max="5123" width="1.7109375" style="64" customWidth="1"/>
    <col min="5124" max="5128" width="3.28515625" style="64" customWidth="1"/>
    <col min="5129" max="5129" width="1.7109375" style="64" customWidth="1"/>
    <col min="5130" max="5130" width="16.5703125" style="64" bestFit="1" customWidth="1"/>
    <col min="5131" max="5132" width="10.28515625" style="64" customWidth="1"/>
    <col min="5133" max="5133" width="18" style="64" bestFit="1" customWidth="1"/>
    <col min="5134" max="5318" width="9.140625" style="64"/>
    <col min="5319" max="5326" width="9.140625" style="64" customWidth="1"/>
    <col min="5327" max="5327" width="10.140625" style="64" customWidth="1"/>
    <col min="5328" max="5328" width="1" style="64" customWidth="1"/>
    <col min="5329" max="5331" width="3.28515625" style="64" customWidth="1"/>
    <col min="5332" max="5332" width="1.85546875" style="64" customWidth="1"/>
    <col min="5333" max="5333" width="17.85546875" style="64" customWidth="1"/>
    <col min="5334" max="5334" width="1.85546875" style="64" customWidth="1"/>
    <col min="5335" max="5337" width="3.28515625" style="64" customWidth="1"/>
    <col min="5338" max="5338" width="2.85546875" style="64" customWidth="1"/>
    <col min="5339" max="5339" width="1.85546875" style="64" customWidth="1"/>
    <col min="5340" max="5340" width="19.7109375" style="64" customWidth="1"/>
    <col min="5341" max="5341" width="1.85546875" style="64" customWidth="1"/>
    <col min="5342" max="5344" width="3" style="64" customWidth="1"/>
    <col min="5345" max="5345" width="4.42578125" style="64" customWidth="1"/>
    <col min="5346" max="5347" width="3" style="64" customWidth="1"/>
    <col min="5348" max="5353" width="3.28515625" style="64" customWidth="1"/>
    <col min="5354" max="5355" width="9.140625" style="64" customWidth="1"/>
    <col min="5356" max="5359" width="3.28515625" style="64" customWidth="1"/>
    <col min="5360" max="5360" width="4.140625" style="64" customWidth="1"/>
    <col min="5361" max="5361" width="1.7109375" style="64" customWidth="1"/>
    <col min="5362" max="5366" width="3.28515625" style="64" customWidth="1"/>
    <col min="5367" max="5367" width="1.7109375" style="64" customWidth="1"/>
    <col min="5368" max="5372" width="3.28515625" style="64" customWidth="1"/>
    <col min="5373" max="5378" width="9.140625" style="64" customWidth="1"/>
    <col min="5379" max="5379" width="1.7109375" style="64" customWidth="1"/>
    <col min="5380" max="5384" width="3.28515625" style="64" customWidth="1"/>
    <col min="5385" max="5385" width="1.7109375" style="64" customWidth="1"/>
    <col min="5386" max="5386" width="16.5703125" style="64" bestFit="1" customWidth="1"/>
    <col min="5387" max="5388" width="10.28515625" style="64" customWidth="1"/>
    <col min="5389" max="5389" width="18" style="64" bestFit="1" customWidth="1"/>
    <col min="5390" max="5574" width="9.140625" style="64"/>
    <col min="5575" max="5582" width="9.140625" style="64" customWidth="1"/>
    <col min="5583" max="5583" width="10.140625" style="64" customWidth="1"/>
    <col min="5584" max="5584" width="1" style="64" customWidth="1"/>
    <col min="5585" max="5587" width="3.28515625" style="64" customWidth="1"/>
    <col min="5588" max="5588" width="1.85546875" style="64" customWidth="1"/>
    <col min="5589" max="5589" width="17.85546875" style="64" customWidth="1"/>
    <col min="5590" max="5590" width="1.85546875" style="64" customWidth="1"/>
    <col min="5591" max="5593" width="3.28515625" style="64" customWidth="1"/>
    <col min="5594" max="5594" width="2.85546875" style="64" customWidth="1"/>
    <col min="5595" max="5595" width="1.85546875" style="64" customWidth="1"/>
    <col min="5596" max="5596" width="19.7109375" style="64" customWidth="1"/>
    <col min="5597" max="5597" width="1.85546875" style="64" customWidth="1"/>
    <col min="5598" max="5600" width="3" style="64" customWidth="1"/>
    <col min="5601" max="5601" width="4.42578125" style="64" customWidth="1"/>
    <col min="5602" max="5603" width="3" style="64" customWidth="1"/>
    <col min="5604" max="5609" width="3.28515625" style="64" customWidth="1"/>
    <col min="5610" max="5611" width="9.140625" style="64" customWidth="1"/>
    <col min="5612" max="5615" width="3.28515625" style="64" customWidth="1"/>
    <col min="5616" max="5616" width="4.140625" style="64" customWidth="1"/>
    <col min="5617" max="5617" width="1.7109375" style="64" customWidth="1"/>
    <col min="5618" max="5622" width="3.28515625" style="64" customWidth="1"/>
    <col min="5623" max="5623" width="1.7109375" style="64" customWidth="1"/>
    <col min="5624" max="5628" width="3.28515625" style="64" customWidth="1"/>
    <col min="5629" max="5634" width="9.140625" style="64" customWidth="1"/>
    <col min="5635" max="5635" width="1.7109375" style="64" customWidth="1"/>
    <col min="5636" max="5640" width="3.28515625" style="64" customWidth="1"/>
    <col min="5641" max="5641" width="1.7109375" style="64" customWidth="1"/>
    <col min="5642" max="5642" width="16.5703125" style="64" bestFit="1" customWidth="1"/>
    <col min="5643" max="5644" width="10.28515625" style="64" customWidth="1"/>
    <col min="5645" max="5645" width="18" style="64" bestFit="1" customWidth="1"/>
    <col min="5646" max="5830" width="9.140625" style="64"/>
    <col min="5831" max="5838" width="9.140625" style="64" customWidth="1"/>
    <col min="5839" max="5839" width="10.140625" style="64" customWidth="1"/>
    <col min="5840" max="5840" width="1" style="64" customWidth="1"/>
    <col min="5841" max="5843" width="3.28515625" style="64" customWidth="1"/>
    <col min="5844" max="5844" width="1.85546875" style="64" customWidth="1"/>
    <col min="5845" max="5845" width="17.85546875" style="64" customWidth="1"/>
    <col min="5846" max="5846" width="1.85546875" style="64" customWidth="1"/>
    <col min="5847" max="5849" width="3.28515625" style="64" customWidth="1"/>
    <col min="5850" max="5850" width="2.85546875" style="64" customWidth="1"/>
    <col min="5851" max="5851" width="1.85546875" style="64" customWidth="1"/>
    <col min="5852" max="5852" width="19.7109375" style="64" customWidth="1"/>
    <col min="5853" max="5853" width="1.85546875" style="64" customWidth="1"/>
    <col min="5854" max="5856" width="3" style="64" customWidth="1"/>
    <col min="5857" max="5857" width="4.42578125" style="64" customWidth="1"/>
    <col min="5858" max="5859" width="3" style="64" customWidth="1"/>
    <col min="5860" max="5865" width="3.28515625" style="64" customWidth="1"/>
    <col min="5866" max="5867" width="9.140625" style="64" customWidth="1"/>
    <col min="5868" max="5871" width="3.28515625" style="64" customWidth="1"/>
    <col min="5872" max="5872" width="4.140625" style="64" customWidth="1"/>
    <col min="5873" max="5873" width="1.7109375" style="64" customWidth="1"/>
    <col min="5874" max="5878" width="3.28515625" style="64" customWidth="1"/>
    <col min="5879" max="5879" width="1.7109375" style="64" customWidth="1"/>
    <col min="5880" max="5884" width="3.28515625" style="64" customWidth="1"/>
    <col min="5885" max="5890" width="9.140625" style="64" customWidth="1"/>
    <col min="5891" max="5891" width="1.7109375" style="64" customWidth="1"/>
    <col min="5892" max="5896" width="3.28515625" style="64" customWidth="1"/>
    <col min="5897" max="5897" width="1.7109375" style="64" customWidth="1"/>
    <col min="5898" max="5898" width="16.5703125" style="64" bestFit="1" customWidth="1"/>
    <col min="5899" max="5900" width="10.28515625" style="64" customWidth="1"/>
    <col min="5901" max="5901" width="18" style="64" bestFit="1" customWidth="1"/>
    <col min="5902" max="6086" width="9.140625" style="64"/>
    <col min="6087" max="6094" width="9.140625" style="64" customWidth="1"/>
    <col min="6095" max="6095" width="10.140625" style="64" customWidth="1"/>
    <col min="6096" max="6096" width="1" style="64" customWidth="1"/>
    <col min="6097" max="6099" width="3.28515625" style="64" customWidth="1"/>
    <col min="6100" max="6100" width="1.85546875" style="64" customWidth="1"/>
    <col min="6101" max="6101" width="17.85546875" style="64" customWidth="1"/>
    <col min="6102" max="6102" width="1.85546875" style="64" customWidth="1"/>
    <col min="6103" max="6105" width="3.28515625" style="64" customWidth="1"/>
    <col min="6106" max="6106" width="2.85546875" style="64" customWidth="1"/>
    <col min="6107" max="6107" width="1.85546875" style="64" customWidth="1"/>
    <col min="6108" max="6108" width="19.7109375" style="64" customWidth="1"/>
    <col min="6109" max="6109" width="1.85546875" style="64" customWidth="1"/>
    <col min="6110" max="6112" width="3" style="64" customWidth="1"/>
    <col min="6113" max="6113" width="4.42578125" style="64" customWidth="1"/>
    <col min="6114" max="6115" width="3" style="64" customWidth="1"/>
    <col min="6116" max="6121" width="3.28515625" style="64" customWidth="1"/>
    <col min="6122" max="6123" width="9.140625" style="64" customWidth="1"/>
    <col min="6124" max="6127" width="3.28515625" style="64" customWidth="1"/>
    <col min="6128" max="6128" width="4.140625" style="64" customWidth="1"/>
    <col min="6129" max="6129" width="1.7109375" style="64" customWidth="1"/>
    <col min="6130" max="6134" width="3.28515625" style="64" customWidth="1"/>
    <col min="6135" max="6135" width="1.7109375" style="64" customWidth="1"/>
    <col min="6136" max="6140" width="3.28515625" style="64" customWidth="1"/>
    <col min="6141" max="6146" width="9.140625" style="64" customWidth="1"/>
    <col min="6147" max="6147" width="1.7109375" style="64" customWidth="1"/>
    <col min="6148" max="6152" width="3.28515625" style="64" customWidth="1"/>
    <col min="6153" max="6153" width="1.7109375" style="64" customWidth="1"/>
    <col min="6154" max="6154" width="16.5703125" style="64" bestFit="1" customWidth="1"/>
    <col min="6155" max="6156" width="10.28515625" style="64" customWidth="1"/>
    <col min="6157" max="6157" width="18" style="64" bestFit="1" customWidth="1"/>
    <col min="6158" max="6342" width="9.140625" style="64"/>
    <col min="6343" max="6350" width="9.140625" style="64" customWidth="1"/>
    <col min="6351" max="6351" width="10.140625" style="64" customWidth="1"/>
    <col min="6352" max="6352" width="1" style="64" customWidth="1"/>
    <col min="6353" max="6355" width="3.28515625" style="64" customWidth="1"/>
    <col min="6356" max="6356" width="1.85546875" style="64" customWidth="1"/>
    <col min="6357" max="6357" width="17.85546875" style="64" customWidth="1"/>
    <col min="6358" max="6358" width="1.85546875" style="64" customWidth="1"/>
    <col min="6359" max="6361" width="3.28515625" style="64" customWidth="1"/>
    <col min="6362" max="6362" width="2.85546875" style="64" customWidth="1"/>
    <col min="6363" max="6363" width="1.85546875" style="64" customWidth="1"/>
    <col min="6364" max="6364" width="19.7109375" style="64" customWidth="1"/>
    <col min="6365" max="6365" width="1.85546875" style="64" customWidth="1"/>
    <col min="6366" max="6368" width="3" style="64" customWidth="1"/>
    <col min="6369" max="6369" width="4.42578125" style="64" customWidth="1"/>
    <col min="6370" max="6371" width="3" style="64" customWidth="1"/>
    <col min="6372" max="6377" width="3.28515625" style="64" customWidth="1"/>
    <col min="6378" max="6379" width="9.140625" style="64" customWidth="1"/>
    <col min="6380" max="6383" width="3.28515625" style="64" customWidth="1"/>
    <col min="6384" max="6384" width="4.140625" style="64" customWidth="1"/>
    <col min="6385" max="6385" width="1.7109375" style="64" customWidth="1"/>
    <col min="6386" max="6390" width="3.28515625" style="64" customWidth="1"/>
    <col min="6391" max="6391" width="1.7109375" style="64" customWidth="1"/>
    <col min="6392" max="6396" width="3.28515625" style="64" customWidth="1"/>
    <col min="6397" max="6402" width="9.140625" style="64" customWidth="1"/>
    <col min="6403" max="6403" width="1.7109375" style="64" customWidth="1"/>
    <col min="6404" max="6408" width="3.28515625" style="64" customWidth="1"/>
    <col min="6409" max="6409" width="1.7109375" style="64" customWidth="1"/>
    <col min="6410" max="6410" width="16.5703125" style="64" bestFit="1" customWidth="1"/>
    <col min="6411" max="6412" width="10.28515625" style="64" customWidth="1"/>
    <col min="6413" max="6413" width="18" style="64" bestFit="1" customWidth="1"/>
    <col min="6414" max="6598" width="9.140625" style="64"/>
    <col min="6599" max="6606" width="9.140625" style="64" customWidth="1"/>
    <col min="6607" max="6607" width="10.140625" style="64" customWidth="1"/>
    <col min="6608" max="6608" width="1" style="64" customWidth="1"/>
    <col min="6609" max="6611" width="3.28515625" style="64" customWidth="1"/>
    <col min="6612" max="6612" width="1.85546875" style="64" customWidth="1"/>
    <col min="6613" max="6613" width="17.85546875" style="64" customWidth="1"/>
    <col min="6614" max="6614" width="1.85546875" style="64" customWidth="1"/>
    <col min="6615" max="6617" width="3.28515625" style="64" customWidth="1"/>
    <col min="6618" max="6618" width="2.85546875" style="64" customWidth="1"/>
    <col min="6619" max="6619" width="1.85546875" style="64" customWidth="1"/>
    <col min="6620" max="6620" width="19.7109375" style="64" customWidth="1"/>
    <col min="6621" max="6621" width="1.85546875" style="64" customWidth="1"/>
    <col min="6622" max="6624" width="3" style="64" customWidth="1"/>
    <col min="6625" max="6625" width="4.42578125" style="64" customWidth="1"/>
    <col min="6626" max="6627" width="3" style="64" customWidth="1"/>
    <col min="6628" max="6633" width="3.28515625" style="64" customWidth="1"/>
    <col min="6634" max="6635" width="9.140625" style="64" customWidth="1"/>
    <col min="6636" max="6639" width="3.28515625" style="64" customWidth="1"/>
    <col min="6640" max="6640" width="4.140625" style="64" customWidth="1"/>
    <col min="6641" max="6641" width="1.7109375" style="64" customWidth="1"/>
    <col min="6642" max="6646" width="3.28515625" style="64" customWidth="1"/>
    <col min="6647" max="6647" width="1.7109375" style="64" customWidth="1"/>
    <col min="6648" max="6652" width="3.28515625" style="64" customWidth="1"/>
    <col min="6653" max="6658" width="9.140625" style="64" customWidth="1"/>
    <col min="6659" max="6659" width="1.7109375" style="64" customWidth="1"/>
    <col min="6660" max="6664" width="3.28515625" style="64" customWidth="1"/>
    <col min="6665" max="6665" width="1.7109375" style="64" customWidth="1"/>
    <col min="6666" max="6666" width="16.5703125" style="64" bestFit="1" customWidth="1"/>
    <col min="6667" max="6668" width="10.28515625" style="64" customWidth="1"/>
    <col min="6669" max="6669" width="18" style="64" bestFit="1" customWidth="1"/>
    <col min="6670" max="6854" width="9.140625" style="64"/>
    <col min="6855" max="6862" width="9.140625" style="64" customWidth="1"/>
    <col min="6863" max="6863" width="10.140625" style="64" customWidth="1"/>
    <col min="6864" max="6864" width="1" style="64" customWidth="1"/>
    <col min="6865" max="6867" width="3.28515625" style="64" customWidth="1"/>
    <col min="6868" max="6868" width="1.85546875" style="64" customWidth="1"/>
    <col min="6869" max="6869" width="17.85546875" style="64" customWidth="1"/>
    <col min="6870" max="6870" width="1.85546875" style="64" customWidth="1"/>
    <col min="6871" max="6873" width="3.28515625" style="64" customWidth="1"/>
    <col min="6874" max="6874" width="2.85546875" style="64" customWidth="1"/>
    <col min="6875" max="6875" width="1.85546875" style="64" customWidth="1"/>
    <col min="6876" max="6876" width="19.7109375" style="64" customWidth="1"/>
    <col min="6877" max="6877" width="1.85546875" style="64" customWidth="1"/>
    <col min="6878" max="6880" width="3" style="64" customWidth="1"/>
    <col min="6881" max="6881" width="4.42578125" style="64" customWidth="1"/>
    <col min="6882" max="6883" width="3" style="64" customWidth="1"/>
    <col min="6884" max="6889" width="3.28515625" style="64" customWidth="1"/>
    <col min="6890" max="6891" width="9.140625" style="64" customWidth="1"/>
    <col min="6892" max="6895" width="3.28515625" style="64" customWidth="1"/>
    <col min="6896" max="6896" width="4.140625" style="64" customWidth="1"/>
    <col min="6897" max="6897" width="1.7109375" style="64" customWidth="1"/>
    <col min="6898" max="6902" width="3.28515625" style="64" customWidth="1"/>
    <col min="6903" max="6903" width="1.7109375" style="64" customWidth="1"/>
    <col min="6904" max="6908" width="3.28515625" style="64" customWidth="1"/>
    <col min="6909" max="6914" width="9.140625" style="64" customWidth="1"/>
    <col min="6915" max="6915" width="1.7109375" style="64" customWidth="1"/>
    <col min="6916" max="6920" width="3.28515625" style="64" customWidth="1"/>
    <col min="6921" max="6921" width="1.7109375" style="64" customWidth="1"/>
    <col min="6922" max="6922" width="16.5703125" style="64" bestFit="1" customWidth="1"/>
    <col min="6923" max="6924" width="10.28515625" style="64" customWidth="1"/>
    <col min="6925" max="6925" width="18" style="64" bestFit="1" customWidth="1"/>
    <col min="6926" max="7110" width="9.140625" style="64"/>
    <col min="7111" max="7118" width="9.140625" style="64" customWidth="1"/>
    <col min="7119" max="7119" width="10.140625" style="64" customWidth="1"/>
    <col min="7120" max="7120" width="1" style="64" customWidth="1"/>
    <col min="7121" max="7123" width="3.28515625" style="64" customWidth="1"/>
    <col min="7124" max="7124" width="1.85546875" style="64" customWidth="1"/>
    <col min="7125" max="7125" width="17.85546875" style="64" customWidth="1"/>
    <col min="7126" max="7126" width="1.85546875" style="64" customWidth="1"/>
    <col min="7127" max="7129" width="3.28515625" style="64" customWidth="1"/>
    <col min="7130" max="7130" width="2.85546875" style="64" customWidth="1"/>
    <col min="7131" max="7131" width="1.85546875" style="64" customWidth="1"/>
    <col min="7132" max="7132" width="19.7109375" style="64" customWidth="1"/>
    <col min="7133" max="7133" width="1.85546875" style="64" customWidth="1"/>
    <col min="7134" max="7136" width="3" style="64" customWidth="1"/>
    <col min="7137" max="7137" width="4.42578125" style="64" customWidth="1"/>
    <col min="7138" max="7139" width="3" style="64" customWidth="1"/>
    <col min="7140" max="7145" width="3.28515625" style="64" customWidth="1"/>
    <col min="7146" max="7147" width="9.140625" style="64" customWidth="1"/>
    <col min="7148" max="7151" width="3.28515625" style="64" customWidth="1"/>
    <col min="7152" max="7152" width="4.140625" style="64" customWidth="1"/>
    <col min="7153" max="7153" width="1.7109375" style="64" customWidth="1"/>
    <col min="7154" max="7158" width="3.28515625" style="64" customWidth="1"/>
    <col min="7159" max="7159" width="1.7109375" style="64" customWidth="1"/>
    <col min="7160" max="7164" width="3.28515625" style="64" customWidth="1"/>
    <col min="7165" max="7170" width="9.140625" style="64" customWidth="1"/>
    <col min="7171" max="7171" width="1.7109375" style="64" customWidth="1"/>
    <col min="7172" max="7176" width="3.28515625" style="64" customWidth="1"/>
    <col min="7177" max="7177" width="1.7109375" style="64" customWidth="1"/>
    <col min="7178" max="7178" width="16.5703125" style="64" bestFit="1" customWidth="1"/>
    <col min="7179" max="7180" width="10.28515625" style="64" customWidth="1"/>
    <col min="7181" max="7181" width="18" style="64" bestFit="1" customWidth="1"/>
    <col min="7182" max="7366" width="9.140625" style="64"/>
    <col min="7367" max="7374" width="9.140625" style="64" customWidth="1"/>
    <col min="7375" max="7375" width="10.140625" style="64" customWidth="1"/>
    <col min="7376" max="7376" width="1" style="64" customWidth="1"/>
    <col min="7377" max="7379" width="3.28515625" style="64" customWidth="1"/>
    <col min="7380" max="7380" width="1.85546875" style="64" customWidth="1"/>
    <col min="7381" max="7381" width="17.85546875" style="64" customWidth="1"/>
    <col min="7382" max="7382" width="1.85546875" style="64" customWidth="1"/>
    <col min="7383" max="7385" width="3.28515625" style="64" customWidth="1"/>
    <col min="7386" max="7386" width="2.85546875" style="64" customWidth="1"/>
    <col min="7387" max="7387" width="1.85546875" style="64" customWidth="1"/>
    <col min="7388" max="7388" width="19.7109375" style="64" customWidth="1"/>
    <col min="7389" max="7389" width="1.85546875" style="64" customWidth="1"/>
    <col min="7390" max="7392" width="3" style="64" customWidth="1"/>
    <col min="7393" max="7393" width="4.42578125" style="64" customWidth="1"/>
    <col min="7394" max="7395" width="3" style="64" customWidth="1"/>
    <col min="7396" max="7401" width="3.28515625" style="64" customWidth="1"/>
    <col min="7402" max="7403" width="9.140625" style="64" customWidth="1"/>
    <col min="7404" max="7407" width="3.28515625" style="64" customWidth="1"/>
    <col min="7408" max="7408" width="4.140625" style="64" customWidth="1"/>
    <col min="7409" max="7409" width="1.7109375" style="64" customWidth="1"/>
    <col min="7410" max="7414" width="3.28515625" style="64" customWidth="1"/>
    <col min="7415" max="7415" width="1.7109375" style="64" customWidth="1"/>
    <col min="7416" max="7420" width="3.28515625" style="64" customWidth="1"/>
    <col min="7421" max="7426" width="9.140625" style="64" customWidth="1"/>
    <col min="7427" max="7427" width="1.7109375" style="64" customWidth="1"/>
    <col min="7428" max="7432" width="3.28515625" style="64" customWidth="1"/>
    <col min="7433" max="7433" width="1.7109375" style="64" customWidth="1"/>
    <col min="7434" max="7434" width="16.5703125" style="64" bestFit="1" customWidth="1"/>
    <col min="7435" max="7436" width="10.28515625" style="64" customWidth="1"/>
    <col min="7437" max="7437" width="18" style="64" bestFit="1" customWidth="1"/>
    <col min="7438" max="7622" width="9.140625" style="64"/>
    <col min="7623" max="7630" width="9.140625" style="64" customWidth="1"/>
    <col min="7631" max="7631" width="10.140625" style="64" customWidth="1"/>
    <col min="7632" max="7632" width="1" style="64" customWidth="1"/>
    <col min="7633" max="7635" width="3.28515625" style="64" customWidth="1"/>
    <col min="7636" max="7636" width="1.85546875" style="64" customWidth="1"/>
    <col min="7637" max="7637" width="17.85546875" style="64" customWidth="1"/>
    <col min="7638" max="7638" width="1.85546875" style="64" customWidth="1"/>
    <col min="7639" max="7641" width="3.28515625" style="64" customWidth="1"/>
    <col min="7642" max="7642" width="2.85546875" style="64" customWidth="1"/>
    <col min="7643" max="7643" width="1.85546875" style="64" customWidth="1"/>
    <col min="7644" max="7644" width="19.7109375" style="64" customWidth="1"/>
    <col min="7645" max="7645" width="1.85546875" style="64" customWidth="1"/>
    <col min="7646" max="7648" width="3" style="64" customWidth="1"/>
    <col min="7649" max="7649" width="4.42578125" style="64" customWidth="1"/>
    <col min="7650" max="7651" width="3" style="64" customWidth="1"/>
    <col min="7652" max="7657" width="3.28515625" style="64" customWidth="1"/>
    <col min="7658" max="7659" width="9.140625" style="64" customWidth="1"/>
    <col min="7660" max="7663" width="3.28515625" style="64" customWidth="1"/>
    <col min="7664" max="7664" width="4.140625" style="64" customWidth="1"/>
    <col min="7665" max="7665" width="1.7109375" style="64" customWidth="1"/>
    <col min="7666" max="7670" width="3.28515625" style="64" customWidth="1"/>
    <col min="7671" max="7671" width="1.7109375" style="64" customWidth="1"/>
    <col min="7672" max="7676" width="3.28515625" style="64" customWidth="1"/>
    <col min="7677" max="7682" width="9.140625" style="64" customWidth="1"/>
    <col min="7683" max="7683" width="1.7109375" style="64" customWidth="1"/>
    <col min="7684" max="7688" width="3.28515625" style="64" customWidth="1"/>
    <col min="7689" max="7689" width="1.7109375" style="64" customWidth="1"/>
    <col min="7690" max="7690" width="16.5703125" style="64" bestFit="1" customWidth="1"/>
    <col min="7691" max="7692" width="10.28515625" style="64" customWidth="1"/>
    <col min="7693" max="7693" width="18" style="64" bestFit="1" customWidth="1"/>
    <col min="7694" max="7878" width="9.140625" style="64"/>
    <col min="7879" max="7886" width="9.140625" style="64" customWidth="1"/>
    <col min="7887" max="7887" width="10.140625" style="64" customWidth="1"/>
    <col min="7888" max="7888" width="1" style="64" customWidth="1"/>
    <col min="7889" max="7891" width="3.28515625" style="64" customWidth="1"/>
    <col min="7892" max="7892" width="1.85546875" style="64" customWidth="1"/>
    <col min="7893" max="7893" width="17.85546875" style="64" customWidth="1"/>
    <col min="7894" max="7894" width="1.85546875" style="64" customWidth="1"/>
    <col min="7895" max="7897" width="3.28515625" style="64" customWidth="1"/>
    <col min="7898" max="7898" width="2.85546875" style="64" customWidth="1"/>
    <col min="7899" max="7899" width="1.85546875" style="64" customWidth="1"/>
    <col min="7900" max="7900" width="19.7109375" style="64" customWidth="1"/>
    <col min="7901" max="7901" width="1.85546875" style="64" customWidth="1"/>
    <col min="7902" max="7904" width="3" style="64" customWidth="1"/>
    <col min="7905" max="7905" width="4.42578125" style="64" customWidth="1"/>
    <col min="7906" max="7907" width="3" style="64" customWidth="1"/>
    <col min="7908" max="7913" width="3.28515625" style="64" customWidth="1"/>
    <col min="7914" max="7915" width="9.140625" style="64" customWidth="1"/>
    <col min="7916" max="7919" width="3.28515625" style="64" customWidth="1"/>
    <col min="7920" max="7920" width="4.140625" style="64" customWidth="1"/>
    <col min="7921" max="7921" width="1.7109375" style="64" customWidth="1"/>
    <col min="7922" max="7926" width="3.28515625" style="64" customWidth="1"/>
    <col min="7927" max="7927" width="1.7109375" style="64" customWidth="1"/>
    <col min="7928" max="7932" width="3.28515625" style="64" customWidth="1"/>
    <col min="7933" max="7938" width="9.140625" style="64" customWidth="1"/>
    <col min="7939" max="7939" width="1.7109375" style="64" customWidth="1"/>
    <col min="7940" max="7944" width="3.28515625" style="64" customWidth="1"/>
    <col min="7945" max="7945" width="1.7109375" style="64" customWidth="1"/>
    <col min="7946" max="7946" width="16.5703125" style="64" bestFit="1" customWidth="1"/>
    <col min="7947" max="7948" width="10.28515625" style="64" customWidth="1"/>
    <col min="7949" max="7949" width="18" style="64" bestFit="1" customWidth="1"/>
    <col min="7950" max="8134" width="9.140625" style="64"/>
    <col min="8135" max="8142" width="9.140625" style="64" customWidth="1"/>
    <col min="8143" max="8143" width="10.140625" style="64" customWidth="1"/>
    <col min="8144" max="8144" width="1" style="64" customWidth="1"/>
    <col min="8145" max="8147" width="3.28515625" style="64" customWidth="1"/>
    <col min="8148" max="8148" width="1.85546875" style="64" customWidth="1"/>
    <col min="8149" max="8149" width="17.85546875" style="64" customWidth="1"/>
    <col min="8150" max="8150" width="1.85546875" style="64" customWidth="1"/>
    <col min="8151" max="8153" width="3.28515625" style="64" customWidth="1"/>
    <col min="8154" max="8154" width="2.85546875" style="64" customWidth="1"/>
    <col min="8155" max="8155" width="1.85546875" style="64" customWidth="1"/>
    <col min="8156" max="8156" width="19.7109375" style="64" customWidth="1"/>
    <col min="8157" max="8157" width="1.85546875" style="64" customWidth="1"/>
    <col min="8158" max="8160" width="3" style="64" customWidth="1"/>
    <col min="8161" max="8161" width="4.42578125" style="64" customWidth="1"/>
    <col min="8162" max="8163" width="3" style="64" customWidth="1"/>
    <col min="8164" max="8169" width="3.28515625" style="64" customWidth="1"/>
    <col min="8170" max="8171" width="9.140625" style="64" customWidth="1"/>
    <col min="8172" max="8175" width="3.28515625" style="64" customWidth="1"/>
    <col min="8176" max="8176" width="4.140625" style="64" customWidth="1"/>
    <col min="8177" max="8177" width="1.7109375" style="64" customWidth="1"/>
    <col min="8178" max="8182" width="3.28515625" style="64" customWidth="1"/>
    <col min="8183" max="8183" width="1.7109375" style="64" customWidth="1"/>
    <col min="8184" max="8188" width="3.28515625" style="64" customWidth="1"/>
    <col min="8189" max="8194" width="9.140625" style="64" customWidth="1"/>
    <col min="8195" max="8195" width="1.7109375" style="64" customWidth="1"/>
    <col min="8196" max="8200" width="3.28515625" style="64" customWidth="1"/>
    <col min="8201" max="8201" width="1.7109375" style="64" customWidth="1"/>
    <col min="8202" max="8202" width="16.5703125" style="64" bestFit="1" customWidth="1"/>
    <col min="8203" max="8204" width="10.28515625" style="64" customWidth="1"/>
    <col min="8205" max="8205" width="18" style="64" bestFit="1" customWidth="1"/>
    <col min="8206" max="8390" width="9.140625" style="64"/>
    <col min="8391" max="8398" width="9.140625" style="64" customWidth="1"/>
    <col min="8399" max="8399" width="10.140625" style="64" customWidth="1"/>
    <col min="8400" max="8400" width="1" style="64" customWidth="1"/>
    <col min="8401" max="8403" width="3.28515625" style="64" customWidth="1"/>
    <col min="8404" max="8404" width="1.85546875" style="64" customWidth="1"/>
    <col min="8405" max="8405" width="17.85546875" style="64" customWidth="1"/>
    <col min="8406" max="8406" width="1.85546875" style="64" customWidth="1"/>
    <col min="8407" max="8409" width="3.28515625" style="64" customWidth="1"/>
    <col min="8410" max="8410" width="2.85546875" style="64" customWidth="1"/>
    <col min="8411" max="8411" width="1.85546875" style="64" customWidth="1"/>
    <col min="8412" max="8412" width="19.7109375" style="64" customWidth="1"/>
    <col min="8413" max="8413" width="1.85546875" style="64" customWidth="1"/>
    <col min="8414" max="8416" width="3" style="64" customWidth="1"/>
    <col min="8417" max="8417" width="4.42578125" style="64" customWidth="1"/>
    <col min="8418" max="8419" width="3" style="64" customWidth="1"/>
    <col min="8420" max="8425" width="3.28515625" style="64" customWidth="1"/>
    <col min="8426" max="8427" width="9.140625" style="64" customWidth="1"/>
    <col min="8428" max="8431" width="3.28515625" style="64" customWidth="1"/>
    <col min="8432" max="8432" width="4.140625" style="64" customWidth="1"/>
    <col min="8433" max="8433" width="1.7109375" style="64" customWidth="1"/>
    <col min="8434" max="8438" width="3.28515625" style="64" customWidth="1"/>
    <col min="8439" max="8439" width="1.7109375" style="64" customWidth="1"/>
    <col min="8440" max="8444" width="3.28515625" style="64" customWidth="1"/>
    <col min="8445" max="8450" width="9.140625" style="64" customWidth="1"/>
    <col min="8451" max="8451" width="1.7109375" style="64" customWidth="1"/>
    <col min="8452" max="8456" width="3.28515625" style="64" customWidth="1"/>
    <col min="8457" max="8457" width="1.7109375" style="64" customWidth="1"/>
    <col min="8458" max="8458" width="16.5703125" style="64" bestFit="1" customWidth="1"/>
    <col min="8459" max="8460" width="10.28515625" style="64" customWidth="1"/>
    <col min="8461" max="8461" width="18" style="64" bestFit="1" customWidth="1"/>
    <col min="8462" max="8646" width="9.140625" style="64"/>
    <col min="8647" max="8654" width="9.140625" style="64" customWidth="1"/>
    <col min="8655" max="8655" width="10.140625" style="64" customWidth="1"/>
    <col min="8656" max="8656" width="1" style="64" customWidth="1"/>
    <col min="8657" max="8659" width="3.28515625" style="64" customWidth="1"/>
    <col min="8660" max="8660" width="1.85546875" style="64" customWidth="1"/>
    <col min="8661" max="8661" width="17.85546875" style="64" customWidth="1"/>
    <col min="8662" max="8662" width="1.85546875" style="64" customWidth="1"/>
    <col min="8663" max="8665" width="3.28515625" style="64" customWidth="1"/>
    <col min="8666" max="8666" width="2.85546875" style="64" customWidth="1"/>
    <col min="8667" max="8667" width="1.85546875" style="64" customWidth="1"/>
    <col min="8668" max="8668" width="19.7109375" style="64" customWidth="1"/>
    <col min="8669" max="8669" width="1.85546875" style="64" customWidth="1"/>
    <col min="8670" max="8672" width="3" style="64" customWidth="1"/>
    <col min="8673" max="8673" width="4.42578125" style="64" customWidth="1"/>
    <col min="8674" max="8675" width="3" style="64" customWidth="1"/>
    <col min="8676" max="8681" width="3.28515625" style="64" customWidth="1"/>
    <col min="8682" max="8683" width="9.140625" style="64" customWidth="1"/>
    <col min="8684" max="8687" width="3.28515625" style="64" customWidth="1"/>
    <col min="8688" max="8688" width="4.140625" style="64" customWidth="1"/>
    <col min="8689" max="8689" width="1.7109375" style="64" customWidth="1"/>
    <col min="8690" max="8694" width="3.28515625" style="64" customWidth="1"/>
    <col min="8695" max="8695" width="1.7109375" style="64" customWidth="1"/>
    <col min="8696" max="8700" width="3.28515625" style="64" customWidth="1"/>
    <col min="8701" max="8706" width="9.140625" style="64" customWidth="1"/>
    <col min="8707" max="8707" width="1.7109375" style="64" customWidth="1"/>
    <col min="8708" max="8712" width="3.28515625" style="64" customWidth="1"/>
    <col min="8713" max="8713" width="1.7109375" style="64" customWidth="1"/>
    <col min="8714" max="8714" width="16.5703125" style="64" bestFit="1" customWidth="1"/>
    <col min="8715" max="8716" width="10.28515625" style="64" customWidth="1"/>
    <col min="8717" max="8717" width="18" style="64" bestFit="1" customWidth="1"/>
    <col min="8718" max="8902" width="9.140625" style="64"/>
    <col min="8903" max="8910" width="9.140625" style="64" customWidth="1"/>
    <col min="8911" max="8911" width="10.140625" style="64" customWidth="1"/>
    <col min="8912" max="8912" width="1" style="64" customWidth="1"/>
    <col min="8913" max="8915" width="3.28515625" style="64" customWidth="1"/>
    <col min="8916" max="8916" width="1.85546875" style="64" customWidth="1"/>
    <col min="8917" max="8917" width="17.85546875" style="64" customWidth="1"/>
    <col min="8918" max="8918" width="1.85546875" style="64" customWidth="1"/>
    <col min="8919" max="8921" width="3.28515625" style="64" customWidth="1"/>
    <col min="8922" max="8922" width="2.85546875" style="64" customWidth="1"/>
    <col min="8923" max="8923" width="1.85546875" style="64" customWidth="1"/>
    <col min="8924" max="8924" width="19.7109375" style="64" customWidth="1"/>
    <col min="8925" max="8925" width="1.85546875" style="64" customWidth="1"/>
    <col min="8926" max="8928" width="3" style="64" customWidth="1"/>
    <col min="8929" max="8929" width="4.42578125" style="64" customWidth="1"/>
    <col min="8930" max="8931" width="3" style="64" customWidth="1"/>
    <col min="8932" max="8937" width="3.28515625" style="64" customWidth="1"/>
    <col min="8938" max="8939" width="9.140625" style="64" customWidth="1"/>
    <col min="8940" max="8943" width="3.28515625" style="64" customWidth="1"/>
    <col min="8944" max="8944" width="4.140625" style="64" customWidth="1"/>
    <col min="8945" max="8945" width="1.7109375" style="64" customWidth="1"/>
    <col min="8946" max="8950" width="3.28515625" style="64" customWidth="1"/>
    <col min="8951" max="8951" width="1.7109375" style="64" customWidth="1"/>
    <col min="8952" max="8956" width="3.28515625" style="64" customWidth="1"/>
    <col min="8957" max="8962" width="9.140625" style="64" customWidth="1"/>
    <col min="8963" max="8963" width="1.7109375" style="64" customWidth="1"/>
    <col min="8964" max="8968" width="3.28515625" style="64" customWidth="1"/>
    <col min="8969" max="8969" width="1.7109375" style="64" customWidth="1"/>
    <col min="8970" max="8970" width="16.5703125" style="64" bestFit="1" customWidth="1"/>
    <col min="8971" max="8972" width="10.28515625" style="64" customWidth="1"/>
    <col min="8973" max="8973" width="18" style="64" bestFit="1" customWidth="1"/>
    <col min="8974" max="9158" width="9.140625" style="64"/>
    <col min="9159" max="9166" width="9.140625" style="64" customWidth="1"/>
    <col min="9167" max="9167" width="10.140625" style="64" customWidth="1"/>
    <col min="9168" max="9168" width="1" style="64" customWidth="1"/>
    <col min="9169" max="9171" width="3.28515625" style="64" customWidth="1"/>
    <col min="9172" max="9172" width="1.85546875" style="64" customWidth="1"/>
    <col min="9173" max="9173" width="17.85546875" style="64" customWidth="1"/>
    <col min="9174" max="9174" width="1.85546875" style="64" customWidth="1"/>
    <col min="9175" max="9177" width="3.28515625" style="64" customWidth="1"/>
    <col min="9178" max="9178" width="2.85546875" style="64" customWidth="1"/>
    <col min="9179" max="9179" width="1.85546875" style="64" customWidth="1"/>
    <col min="9180" max="9180" width="19.7109375" style="64" customWidth="1"/>
    <col min="9181" max="9181" width="1.85546875" style="64" customWidth="1"/>
    <col min="9182" max="9184" width="3" style="64" customWidth="1"/>
    <col min="9185" max="9185" width="4.42578125" style="64" customWidth="1"/>
    <col min="9186" max="9187" width="3" style="64" customWidth="1"/>
    <col min="9188" max="9193" width="3.28515625" style="64" customWidth="1"/>
    <col min="9194" max="9195" width="9.140625" style="64" customWidth="1"/>
    <col min="9196" max="9199" width="3.28515625" style="64" customWidth="1"/>
    <col min="9200" max="9200" width="4.140625" style="64" customWidth="1"/>
    <col min="9201" max="9201" width="1.7109375" style="64" customWidth="1"/>
    <col min="9202" max="9206" width="3.28515625" style="64" customWidth="1"/>
    <col min="9207" max="9207" width="1.7109375" style="64" customWidth="1"/>
    <col min="9208" max="9212" width="3.28515625" style="64" customWidth="1"/>
    <col min="9213" max="9218" width="9.140625" style="64" customWidth="1"/>
    <col min="9219" max="9219" width="1.7109375" style="64" customWidth="1"/>
    <col min="9220" max="9224" width="3.28515625" style="64" customWidth="1"/>
    <col min="9225" max="9225" width="1.7109375" style="64" customWidth="1"/>
    <col min="9226" max="9226" width="16.5703125" style="64" bestFit="1" customWidth="1"/>
    <col min="9227" max="9228" width="10.28515625" style="64" customWidth="1"/>
    <col min="9229" max="9229" width="18" style="64" bestFit="1" customWidth="1"/>
    <col min="9230" max="9414" width="9.140625" style="64"/>
    <col min="9415" max="9422" width="9.140625" style="64" customWidth="1"/>
    <col min="9423" max="9423" width="10.140625" style="64" customWidth="1"/>
    <col min="9424" max="9424" width="1" style="64" customWidth="1"/>
    <col min="9425" max="9427" width="3.28515625" style="64" customWidth="1"/>
    <col min="9428" max="9428" width="1.85546875" style="64" customWidth="1"/>
    <col min="9429" max="9429" width="17.85546875" style="64" customWidth="1"/>
    <col min="9430" max="9430" width="1.85546875" style="64" customWidth="1"/>
    <col min="9431" max="9433" width="3.28515625" style="64" customWidth="1"/>
    <col min="9434" max="9434" width="2.85546875" style="64" customWidth="1"/>
    <col min="9435" max="9435" width="1.85546875" style="64" customWidth="1"/>
    <col min="9436" max="9436" width="19.7109375" style="64" customWidth="1"/>
    <col min="9437" max="9437" width="1.85546875" style="64" customWidth="1"/>
    <col min="9438" max="9440" width="3" style="64" customWidth="1"/>
    <col min="9441" max="9441" width="4.42578125" style="64" customWidth="1"/>
    <col min="9442" max="9443" width="3" style="64" customWidth="1"/>
    <col min="9444" max="9449" width="3.28515625" style="64" customWidth="1"/>
    <col min="9450" max="9451" width="9.140625" style="64" customWidth="1"/>
    <col min="9452" max="9455" width="3.28515625" style="64" customWidth="1"/>
    <col min="9456" max="9456" width="4.140625" style="64" customWidth="1"/>
    <col min="9457" max="9457" width="1.7109375" style="64" customWidth="1"/>
    <col min="9458" max="9462" width="3.28515625" style="64" customWidth="1"/>
    <col min="9463" max="9463" width="1.7109375" style="64" customWidth="1"/>
    <col min="9464" max="9468" width="3.28515625" style="64" customWidth="1"/>
    <col min="9469" max="9474" width="9.140625" style="64" customWidth="1"/>
    <col min="9475" max="9475" width="1.7109375" style="64" customWidth="1"/>
    <col min="9476" max="9480" width="3.28515625" style="64" customWidth="1"/>
    <col min="9481" max="9481" width="1.7109375" style="64" customWidth="1"/>
    <col min="9482" max="9482" width="16.5703125" style="64" bestFit="1" customWidth="1"/>
    <col min="9483" max="9484" width="10.28515625" style="64" customWidth="1"/>
    <col min="9485" max="9485" width="18" style="64" bestFit="1" customWidth="1"/>
    <col min="9486" max="9670" width="9.140625" style="64"/>
    <col min="9671" max="9678" width="9.140625" style="64" customWidth="1"/>
    <col min="9679" max="9679" width="10.140625" style="64" customWidth="1"/>
    <col min="9680" max="9680" width="1" style="64" customWidth="1"/>
    <col min="9681" max="9683" width="3.28515625" style="64" customWidth="1"/>
    <col min="9684" max="9684" width="1.85546875" style="64" customWidth="1"/>
    <col min="9685" max="9685" width="17.85546875" style="64" customWidth="1"/>
    <col min="9686" max="9686" width="1.85546875" style="64" customWidth="1"/>
    <col min="9687" max="9689" width="3.28515625" style="64" customWidth="1"/>
    <col min="9690" max="9690" width="2.85546875" style="64" customWidth="1"/>
    <col min="9691" max="9691" width="1.85546875" style="64" customWidth="1"/>
    <col min="9692" max="9692" width="19.7109375" style="64" customWidth="1"/>
    <col min="9693" max="9693" width="1.85546875" style="64" customWidth="1"/>
    <col min="9694" max="9696" width="3" style="64" customWidth="1"/>
    <col min="9697" max="9697" width="4.42578125" style="64" customWidth="1"/>
    <col min="9698" max="9699" width="3" style="64" customWidth="1"/>
    <col min="9700" max="9705" width="3.28515625" style="64" customWidth="1"/>
    <col min="9706" max="9707" width="9.140625" style="64" customWidth="1"/>
    <col min="9708" max="9711" width="3.28515625" style="64" customWidth="1"/>
    <col min="9712" max="9712" width="4.140625" style="64" customWidth="1"/>
    <col min="9713" max="9713" width="1.7109375" style="64" customWidth="1"/>
    <col min="9714" max="9718" width="3.28515625" style="64" customWidth="1"/>
    <col min="9719" max="9719" width="1.7109375" style="64" customWidth="1"/>
    <col min="9720" max="9724" width="3.28515625" style="64" customWidth="1"/>
    <col min="9725" max="9730" width="9.140625" style="64" customWidth="1"/>
    <col min="9731" max="9731" width="1.7109375" style="64" customWidth="1"/>
    <col min="9732" max="9736" width="3.28515625" style="64" customWidth="1"/>
    <col min="9737" max="9737" width="1.7109375" style="64" customWidth="1"/>
    <col min="9738" max="9738" width="16.5703125" style="64" bestFit="1" customWidth="1"/>
    <col min="9739" max="9740" width="10.28515625" style="64" customWidth="1"/>
    <col min="9741" max="9741" width="18" style="64" bestFit="1" customWidth="1"/>
    <col min="9742" max="9926" width="9.140625" style="64"/>
    <col min="9927" max="9934" width="9.140625" style="64" customWidth="1"/>
    <col min="9935" max="9935" width="10.140625" style="64" customWidth="1"/>
    <col min="9936" max="9936" width="1" style="64" customWidth="1"/>
    <col min="9937" max="9939" width="3.28515625" style="64" customWidth="1"/>
    <col min="9940" max="9940" width="1.85546875" style="64" customWidth="1"/>
    <col min="9941" max="9941" width="17.85546875" style="64" customWidth="1"/>
    <col min="9942" max="9942" width="1.85546875" style="64" customWidth="1"/>
    <col min="9943" max="9945" width="3.28515625" style="64" customWidth="1"/>
    <col min="9946" max="9946" width="2.85546875" style="64" customWidth="1"/>
    <col min="9947" max="9947" width="1.85546875" style="64" customWidth="1"/>
    <col min="9948" max="9948" width="19.7109375" style="64" customWidth="1"/>
    <col min="9949" max="9949" width="1.85546875" style="64" customWidth="1"/>
    <col min="9950" max="9952" width="3" style="64" customWidth="1"/>
    <col min="9953" max="9953" width="4.42578125" style="64" customWidth="1"/>
    <col min="9954" max="9955" width="3" style="64" customWidth="1"/>
    <col min="9956" max="9961" width="3.28515625" style="64" customWidth="1"/>
    <col min="9962" max="9963" width="9.140625" style="64" customWidth="1"/>
    <col min="9964" max="9967" width="3.28515625" style="64" customWidth="1"/>
    <col min="9968" max="9968" width="4.140625" style="64" customWidth="1"/>
    <col min="9969" max="9969" width="1.7109375" style="64" customWidth="1"/>
    <col min="9970" max="9974" width="3.28515625" style="64" customWidth="1"/>
    <col min="9975" max="9975" width="1.7109375" style="64" customWidth="1"/>
    <col min="9976" max="9980" width="3.28515625" style="64" customWidth="1"/>
    <col min="9981" max="9986" width="9.140625" style="64" customWidth="1"/>
    <col min="9987" max="9987" width="1.7109375" style="64" customWidth="1"/>
    <col min="9988" max="9992" width="3.28515625" style="64" customWidth="1"/>
    <col min="9993" max="9993" width="1.7109375" style="64" customWidth="1"/>
    <col min="9994" max="9994" width="16.5703125" style="64" bestFit="1" customWidth="1"/>
    <col min="9995" max="9996" width="10.28515625" style="64" customWidth="1"/>
    <col min="9997" max="9997" width="18" style="64" bestFit="1" customWidth="1"/>
    <col min="9998" max="10182" width="9.140625" style="64"/>
    <col min="10183" max="10190" width="9.140625" style="64" customWidth="1"/>
    <col min="10191" max="10191" width="10.140625" style="64" customWidth="1"/>
    <col min="10192" max="10192" width="1" style="64" customWidth="1"/>
    <col min="10193" max="10195" width="3.28515625" style="64" customWidth="1"/>
    <col min="10196" max="10196" width="1.85546875" style="64" customWidth="1"/>
    <col min="10197" max="10197" width="17.85546875" style="64" customWidth="1"/>
    <col min="10198" max="10198" width="1.85546875" style="64" customWidth="1"/>
    <col min="10199" max="10201" width="3.28515625" style="64" customWidth="1"/>
    <col min="10202" max="10202" width="2.85546875" style="64" customWidth="1"/>
    <col min="10203" max="10203" width="1.85546875" style="64" customWidth="1"/>
    <col min="10204" max="10204" width="19.7109375" style="64" customWidth="1"/>
    <col min="10205" max="10205" width="1.85546875" style="64" customWidth="1"/>
    <col min="10206" max="10208" width="3" style="64" customWidth="1"/>
    <col min="10209" max="10209" width="4.42578125" style="64" customWidth="1"/>
    <col min="10210" max="10211" width="3" style="64" customWidth="1"/>
    <col min="10212" max="10217" width="3.28515625" style="64" customWidth="1"/>
    <col min="10218" max="10219" width="9.140625" style="64" customWidth="1"/>
    <col min="10220" max="10223" width="3.28515625" style="64" customWidth="1"/>
    <col min="10224" max="10224" width="4.140625" style="64" customWidth="1"/>
    <col min="10225" max="10225" width="1.7109375" style="64" customWidth="1"/>
    <col min="10226" max="10230" width="3.28515625" style="64" customWidth="1"/>
    <col min="10231" max="10231" width="1.7109375" style="64" customWidth="1"/>
    <col min="10232" max="10236" width="3.28515625" style="64" customWidth="1"/>
    <col min="10237" max="10242" width="9.140625" style="64" customWidth="1"/>
    <col min="10243" max="10243" width="1.7109375" style="64" customWidth="1"/>
    <col min="10244" max="10248" width="3.28515625" style="64" customWidth="1"/>
    <col min="10249" max="10249" width="1.7109375" style="64" customWidth="1"/>
    <col min="10250" max="10250" width="16.5703125" style="64" bestFit="1" customWidth="1"/>
    <col min="10251" max="10252" width="10.28515625" style="64" customWidth="1"/>
    <col min="10253" max="10253" width="18" style="64" bestFit="1" customWidth="1"/>
    <col min="10254" max="10438" width="9.140625" style="64"/>
    <col min="10439" max="10446" width="9.140625" style="64" customWidth="1"/>
    <col min="10447" max="10447" width="10.140625" style="64" customWidth="1"/>
    <col min="10448" max="10448" width="1" style="64" customWidth="1"/>
    <col min="10449" max="10451" width="3.28515625" style="64" customWidth="1"/>
    <col min="10452" max="10452" width="1.85546875" style="64" customWidth="1"/>
    <col min="10453" max="10453" width="17.85546875" style="64" customWidth="1"/>
    <col min="10454" max="10454" width="1.85546875" style="64" customWidth="1"/>
    <col min="10455" max="10457" width="3.28515625" style="64" customWidth="1"/>
    <col min="10458" max="10458" width="2.85546875" style="64" customWidth="1"/>
    <col min="10459" max="10459" width="1.85546875" style="64" customWidth="1"/>
    <col min="10460" max="10460" width="19.7109375" style="64" customWidth="1"/>
    <col min="10461" max="10461" width="1.85546875" style="64" customWidth="1"/>
    <col min="10462" max="10464" width="3" style="64" customWidth="1"/>
    <col min="10465" max="10465" width="4.42578125" style="64" customWidth="1"/>
    <col min="10466" max="10467" width="3" style="64" customWidth="1"/>
    <col min="10468" max="10473" width="3.28515625" style="64" customWidth="1"/>
    <col min="10474" max="10475" width="9.140625" style="64" customWidth="1"/>
    <col min="10476" max="10479" width="3.28515625" style="64" customWidth="1"/>
    <col min="10480" max="10480" width="4.140625" style="64" customWidth="1"/>
    <col min="10481" max="10481" width="1.7109375" style="64" customWidth="1"/>
    <col min="10482" max="10486" width="3.28515625" style="64" customWidth="1"/>
    <col min="10487" max="10487" width="1.7109375" style="64" customWidth="1"/>
    <col min="10488" max="10492" width="3.28515625" style="64" customWidth="1"/>
    <col min="10493" max="10498" width="9.140625" style="64" customWidth="1"/>
    <col min="10499" max="10499" width="1.7109375" style="64" customWidth="1"/>
    <col min="10500" max="10504" width="3.28515625" style="64" customWidth="1"/>
    <col min="10505" max="10505" width="1.7109375" style="64" customWidth="1"/>
    <col min="10506" max="10506" width="16.5703125" style="64" bestFit="1" customWidth="1"/>
    <col min="10507" max="10508" width="10.28515625" style="64" customWidth="1"/>
    <col min="10509" max="10509" width="18" style="64" bestFit="1" customWidth="1"/>
    <col min="10510" max="10694" width="9.140625" style="64"/>
    <col min="10695" max="10702" width="9.140625" style="64" customWidth="1"/>
    <col min="10703" max="10703" width="10.140625" style="64" customWidth="1"/>
    <col min="10704" max="10704" width="1" style="64" customWidth="1"/>
    <col min="10705" max="10707" width="3.28515625" style="64" customWidth="1"/>
    <col min="10708" max="10708" width="1.85546875" style="64" customWidth="1"/>
    <col min="10709" max="10709" width="17.85546875" style="64" customWidth="1"/>
    <col min="10710" max="10710" width="1.85546875" style="64" customWidth="1"/>
    <col min="10711" max="10713" width="3.28515625" style="64" customWidth="1"/>
    <col min="10714" max="10714" width="2.85546875" style="64" customWidth="1"/>
    <col min="10715" max="10715" width="1.85546875" style="64" customWidth="1"/>
    <col min="10716" max="10716" width="19.7109375" style="64" customWidth="1"/>
    <col min="10717" max="10717" width="1.85546875" style="64" customWidth="1"/>
    <col min="10718" max="10720" width="3" style="64" customWidth="1"/>
    <col min="10721" max="10721" width="4.42578125" style="64" customWidth="1"/>
    <col min="10722" max="10723" width="3" style="64" customWidth="1"/>
    <col min="10724" max="10729" width="3.28515625" style="64" customWidth="1"/>
    <col min="10730" max="10731" width="9.140625" style="64" customWidth="1"/>
    <col min="10732" max="10735" width="3.28515625" style="64" customWidth="1"/>
    <col min="10736" max="10736" width="4.140625" style="64" customWidth="1"/>
    <col min="10737" max="10737" width="1.7109375" style="64" customWidth="1"/>
    <col min="10738" max="10742" width="3.28515625" style="64" customWidth="1"/>
    <col min="10743" max="10743" width="1.7109375" style="64" customWidth="1"/>
    <col min="10744" max="10748" width="3.28515625" style="64" customWidth="1"/>
    <col min="10749" max="10754" width="9.140625" style="64" customWidth="1"/>
    <col min="10755" max="10755" width="1.7109375" style="64" customWidth="1"/>
    <col min="10756" max="10760" width="3.28515625" style="64" customWidth="1"/>
    <col min="10761" max="10761" width="1.7109375" style="64" customWidth="1"/>
    <col min="10762" max="10762" width="16.5703125" style="64" bestFit="1" customWidth="1"/>
    <col min="10763" max="10764" width="10.28515625" style="64" customWidth="1"/>
    <col min="10765" max="10765" width="18" style="64" bestFit="1" customWidth="1"/>
    <col min="10766" max="10950" width="9.140625" style="64"/>
    <col min="10951" max="10958" width="9.140625" style="64" customWidth="1"/>
    <col min="10959" max="10959" width="10.140625" style="64" customWidth="1"/>
    <col min="10960" max="10960" width="1" style="64" customWidth="1"/>
    <col min="10961" max="10963" width="3.28515625" style="64" customWidth="1"/>
    <col min="10964" max="10964" width="1.85546875" style="64" customWidth="1"/>
    <col min="10965" max="10965" width="17.85546875" style="64" customWidth="1"/>
    <col min="10966" max="10966" width="1.85546875" style="64" customWidth="1"/>
    <col min="10967" max="10969" width="3.28515625" style="64" customWidth="1"/>
    <col min="10970" max="10970" width="2.85546875" style="64" customWidth="1"/>
    <col min="10971" max="10971" width="1.85546875" style="64" customWidth="1"/>
    <col min="10972" max="10972" width="19.7109375" style="64" customWidth="1"/>
    <col min="10973" max="10973" width="1.85546875" style="64" customWidth="1"/>
    <col min="10974" max="10976" width="3" style="64" customWidth="1"/>
    <col min="10977" max="10977" width="4.42578125" style="64" customWidth="1"/>
    <col min="10978" max="10979" width="3" style="64" customWidth="1"/>
    <col min="10980" max="10985" width="3.28515625" style="64" customWidth="1"/>
    <col min="10986" max="10987" width="9.140625" style="64" customWidth="1"/>
    <col min="10988" max="10991" width="3.28515625" style="64" customWidth="1"/>
    <col min="10992" max="10992" width="4.140625" style="64" customWidth="1"/>
    <col min="10993" max="10993" width="1.7109375" style="64" customWidth="1"/>
    <col min="10994" max="10998" width="3.28515625" style="64" customWidth="1"/>
    <col min="10999" max="10999" width="1.7109375" style="64" customWidth="1"/>
    <col min="11000" max="11004" width="3.28515625" style="64" customWidth="1"/>
    <col min="11005" max="11010" width="9.140625" style="64" customWidth="1"/>
    <col min="11011" max="11011" width="1.7109375" style="64" customWidth="1"/>
    <col min="11012" max="11016" width="3.28515625" style="64" customWidth="1"/>
    <col min="11017" max="11017" width="1.7109375" style="64" customWidth="1"/>
    <col min="11018" max="11018" width="16.5703125" style="64" bestFit="1" customWidth="1"/>
    <col min="11019" max="11020" width="10.28515625" style="64" customWidth="1"/>
    <col min="11021" max="11021" width="18" style="64" bestFit="1" customWidth="1"/>
    <col min="11022" max="11206" width="9.140625" style="64"/>
    <col min="11207" max="11214" width="9.140625" style="64" customWidth="1"/>
    <col min="11215" max="11215" width="10.140625" style="64" customWidth="1"/>
    <col min="11216" max="11216" width="1" style="64" customWidth="1"/>
    <col min="11217" max="11219" width="3.28515625" style="64" customWidth="1"/>
    <col min="11220" max="11220" width="1.85546875" style="64" customWidth="1"/>
    <col min="11221" max="11221" width="17.85546875" style="64" customWidth="1"/>
    <col min="11222" max="11222" width="1.85546875" style="64" customWidth="1"/>
    <col min="11223" max="11225" width="3.28515625" style="64" customWidth="1"/>
    <col min="11226" max="11226" width="2.85546875" style="64" customWidth="1"/>
    <col min="11227" max="11227" width="1.85546875" style="64" customWidth="1"/>
    <col min="11228" max="11228" width="19.7109375" style="64" customWidth="1"/>
    <col min="11229" max="11229" width="1.85546875" style="64" customWidth="1"/>
    <col min="11230" max="11232" width="3" style="64" customWidth="1"/>
    <col min="11233" max="11233" width="4.42578125" style="64" customWidth="1"/>
    <col min="11234" max="11235" width="3" style="64" customWidth="1"/>
    <col min="11236" max="11241" width="3.28515625" style="64" customWidth="1"/>
    <col min="11242" max="11243" width="9.140625" style="64" customWidth="1"/>
    <col min="11244" max="11247" width="3.28515625" style="64" customWidth="1"/>
    <col min="11248" max="11248" width="4.140625" style="64" customWidth="1"/>
    <col min="11249" max="11249" width="1.7109375" style="64" customWidth="1"/>
    <col min="11250" max="11254" width="3.28515625" style="64" customWidth="1"/>
    <col min="11255" max="11255" width="1.7109375" style="64" customWidth="1"/>
    <col min="11256" max="11260" width="3.28515625" style="64" customWidth="1"/>
    <col min="11261" max="11266" width="9.140625" style="64" customWidth="1"/>
    <col min="11267" max="11267" width="1.7109375" style="64" customWidth="1"/>
    <col min="11268" max="11272" width="3.28515625" style="64" customWidth="1"/>
    <col min="11273" max="11273" width="1.7109375" style="64" customWidth="1"/>
    <col min="11274" max="11274" width="16.5703125" style="64" bestFit="1" customWidth="1"/>
    <col min="11275" max="11276" width="10.28515625" style="64" customWidth="1"/>
    <col min="11277" max="11277" width="18" style="64" bestFit="1" customWidth="1"/>
    <col min="11278" max="11462" width="9.140625" style="64"/>
    <col min="11463" max="11470" width="9.140625" style="64" customWidth="1"/>
    <col min="11471" max="11471" width="10.140625" style="64" customWidth="1"/>
    <col min="11472" max="11472" width="1" style="64" customWidth="1"/>
    <col min="11473" max="11475" width="3.28515625" style="64" customWidth="1"/>
    <col min="11476" max="11476" width="1.85546875" style="64" customWidth="1"/>
    <col min="11477" max="11477" width="17.85546875" style="64" customWidth="1"/>
    <col min="11478" max="11478" width="1.85546875" style="64" customWidth="1"/>
    <col min="11479" max="11481" width="3.28515625" style="64" customWidth="1"/>
    <col min="11482" max="11482" width="2.85546875" style="64" customWidth="1"/>
    <col min="11483" max="11483" width="1.85546875" style="64" customWidth="1"/>
    <col min="11484" max="11484" width="19.7109375" style="64" customWidth="1"/>
    <col min="11485" max="11485" width="1.85546875" style="64" customWidth="1"/>
    <col min="11486" max="11488" width="3" style="64" customWidth="1"/>
    <col min="11489" max="11489" width="4.42578125" style="64" customWidth="1"/>
    <col min="11490" max="11491" width="3" style="64" customWidth="1"/>
    <col min="11492" max="11497" width="3.28515625" style="64" customWidth="1"/>
    <col min="11498" max="11499" width="9.140625" style="64" customWidth="1"/>
    <col min="11500" max="11503" width="3.28515625" style="64" customWidth="1"/>
    <col min="11504" max="11504" width="4.140625" style="64" customWidth="1"/>
    <col min="11505" max="11505" width="1.7109375" style="64" customWidth="1"/>
    <col min="11506" max="11510" width="3.28515625" style="64" customWidth="1"/>
    <col min="11511" max="11511" width="1.7109375" style="64" customWidth="1"/>
    <col min="11512" max="11516" width="3.28515625" style="64" customWidth="1"/>
    <col min="11517" max="11522" width="9.140625" style="64" customWidth="1"/>
    <col min="11523" max="11523" width="1.7109375" style="64" customWidth="1"/>
    <col min="11524" max="11528" width="3.28515625" style="64" customWidth="1"/>
    <col min="11529" max="11529" width="1.7109375" style="64" customWidth="1"/>
    <col min="11530" max="11530" width="16.5703125" style="64" bestFit="1" customWidth="1"/>
    <col min="11531" max="11532" width="10.28515625" style="64" customWidth="1"/>
    <col min="11533" max="11533" width="18" style="64" bestFit="1" customWidth="1"/>
    <col min="11534" max="11718" width="9.140625" style="64"/>
    <col min="11719" max="11726" width="9.140625" style="64" customWidth="1"/>
    <col min="11727" max="11727" width="10.140625" style="64" customWidth="1"/>
    <col min="11728" max="11728" width="1" style="64" customWidth="1"/>
    <col min="11729" max="11731" width="3.28515625" style="64" customWidth="1"/>
    <col min="11732" max="11732" width="1.85546875" style="64" customWidth="1"/>
    <col min="11733" max="11733" width="17.85546875" style="64" customWidth="1"/>
    <col min="11734" max="11734" width="1.85546875" style="64" customWidth="1"/>
    <col min="11735" max="11737" width="3.28515625" style="64" customWidth="1"/>
    <col min="11738" max="11738" width="2.85546875" style="64" customWidth="1"/>
    <col min="11739" max="11739" width="1.85546875" style="64" customWidth="1"/>
    <col min="11740" max="11740" width="19.7109375" style="64" customWidth="1"/>
    <col min="11741" max="11741" width="1.85546875" style="64" customWidth="1"/>
    <col min="11742" max="11744" width="3" style="64" customWidth="1"/>
    <col min="11745" max="11745" width="4.42578125" style="64" customWidth="1"/>
    <col min="11746" max="11747" width="3" style="64" customWidth="1"/>
    <col min="11748" max="11753" width="3.28515625" style="64" customWidth="1"/>
    <col min="11754" max="11755" width="9.140625" style="64" customWidth="1"/>
    <col min="11756" max="11759" width="3.28515625" style="64" customWidth="1"/>
    <col min="11760" max="11760" width="4.140625" style="64" customWidth="1"/>
    <col min="11761" max="11761" width="1.7109375" style="64" customWidth="1"/>
    <col min="11762" max="11766" width="3.28515625" style="64" customWidth="1"/>
    <col min="11767" max="11767" width="1.7109375" style="64" customWidth="1"/>
    <col min="11768" max="11772" width="3.28515625" style="64" customWidth="1"/>
    <col min="11773" max="11778" width="9.140625" style="64" customWidth="1"/>
    <col min="11779" max="11779" width="1.7109375" style="64" customWidth="1"/>
    <col min="11780" max="11784" width="3.28515625" style="64" customWidth="1"/>
    <col min="11785" max="11785" width="1.7109375" style="64" customWidth="1"/>
    <col min="11786" max="11786" width="16.5703125" style="64" bestFit="1" customWidth="1"/>
    <col min="11787" max="11788" width="10.28515625" style="64" customWidth="1"/>
    <col min="11789" max="11789" width="18" style="64" bestFit="1" customWidth="1"/>
    <col min="11790" max="11974" width="9.140625" style="64"/>
    <col min="11975" max="11982" width="9.140625" style="64" customWidth="1"/>
    <col min="11983" max="11983" width="10.140625" style="64" customWidth="1"/>
    <col min="11984" max="11984" width="1" style="64" customWidth="1"/>
    <col min="11985" max="11987" width="3.28515625" style="64" customWidth="1"/>
    <col min="11988" max="11988" width="1.85546875" style="64" customWidth="1"/>
    <col min="11989" max="11989" width="17.85546875" style="64" customWidth="1"/>
    <col min="11990" max="11990" width="1.85546875" style="64" customWidth="1"/>
    <col min="11991" max="11993" width="3.28515625" style="64" customWidth="1"/>
    <col min="11994" max="11994" width="2.85546875" style="64" customWidth="1"/>
    <col min="11995" max="11995" width="1.85546875" style="64" customWidth="1"/>
    <col min="11996" max="11996" width="19.7109375" style="64" customWidth="1"/>
    <col min="11997" max="11997" width="1.85546875" style="64" customWidth="1"/>
    <col min="11998" max="12000" width="3" style="64" customWidth="1"/>
    <col min="12001" max="12001" width="4.42578125" style="64" customWidth="1"/>
    <col min="12002" max="12003" width="3" style="64" customWidth="1"/>
    <col min="12004" max="12009" width="3.28515625" style="64" customWidth="1"/>
    <col min="12010" max="12011" width="9.140625" style="64" customWidth="1"/>
    <col min="12012" max="12015" width="3.28515625" style="64" customWidth="1"/>
    <col min="12016" max="12016" width="4.140625" style="64" customWidth="1"/>
    <col min="12017" max="12017" width="1.7109375" style="64" customWidth="1"/>
    <col min="12018" max="12022" width="3.28515625" style="64" customWidth="1"/>
    <col min="12023" max="12023" width="1.7109375" style="64" customWidth="1"/>
    <col min="12024" max="12028" width="3.28515625" style="64" customWidth="1"/>
    <col min="12029" max="12034" width="9.140625" style="64" customWidth="1"/>
    <col min="12035" max="12035" width="1.7109375" style="64" customWidth="1"/>
    <col min="12036" max="12040" width="3.28515625" style="64" customWidth="1"/>
    <col min="12041" max="12041" width="1.7109375" style="64" customWidth="1"/>
    <col min="12042" max="12042" width="16.5703125" style="64" bestFit="1" customWidth="1"/>
    <col min="12043" max="12044" width="10.28515625" style="64" customWidth="1"/>
    <col min="12045" max="12045" width="18" style="64" bestFit="1" customWidth="1"/>
    <col min="12046" max="12230" width="9.140625" style="64"/>
    <col min="12231" max="12238" width="9.140625" style="64" customWidth="1"/>
    <col min="12239" max="12239" width="10.140625" style="64" customWidth="1"/>
    <col min="12240" max="12240" width="1" style="64" customWidth="1"/>
    <col min="12241" max="12243" width="3.28515625" style="64" customWidth="1"/>
    <col min="12244" max="12244" width="1.85546875" style="64" customWidth="1"/>
    <col min="12245" max="12245" width="17.85546875" style="64" customWidth="1"/>
    <col min="12246" max="12246" width="1.85546875" style="64" customWidth="1"/>
    <col min="12247" max="12249" width="3.28515625" style="64" customWidth="1"/>
    <col min="12250" max="12250" width="2.85546875" style="64" customWidth="1"/>
    <col min="12251" max="12251" width="1.85546875" style="64" customWidth="1"/>
    <col min="12252" max="12252" width="19.7109375" style="64" customWidth="1"/>
    <col min="12253" max="12253" width="1.85546875" style="64" customWidth="1"/>
    <col min="12254" max="12256" width="3" style="64" customWidth="1"/>
    <col min="12257" max="12257" width="4.42578125" style="64" customWidth="1"/>
    <col min="12258" max="12259" width="3" style="64" customWidth="1"/>
    <col min="12260" max="12265" width="3.28515625" style="64" customWidth="1"/>
    <col min="12266" max="12267" width="9.140625" style="64" customWidth="1"/>
    <col min="12268" max="12271" width="3.28515625" style="64" customWidth="1"/>
    <col min="12272" max="12272" width="4.140625" style="64" customWidth="1"/>
    <col min="12273" max="12273" width="1.7109375" style="64" customWidth="1"/>
    <col min="12274" max="12278" width="3.28515625" style="64" customWidth="1"/>
    <col min="12279" max="12279" width="1.7109375" style="64" customWidth="1"/>
    <col min="12280" max="12284" width="3.28515625" style="64" customWidth="1"/>
    <col min="12285" max="12290" width="9.140625" style="64" customWidth="1"/>
    <col min="12291" max="12291" width="1.7109375" style="64" customWidth="1"/>
    <col min="12292" max="12296" width="3.28515625" style="64" customWidth="1"/>
    <col min="12297" max="12297" width="1.7109375" style="64" customWidth="1"/>
    <col min="12298" max="12298" width="16.5703125" style="64" bestFit="1" customWidth="1"/>
    <col min="12299" max="12300" width="10.28515625" style="64" customWidth="1"/>
    <col min="12301" max="12301" width="18" style="64" bestFit="1" customWidth="1"/>
    <col min="12302" max="12486" width="9.140625" style="64"/>
    <col min="12487" max="12494" width="9.140625" style="64" customWidth="1"/>
    <col min="12495" max="12495" width="10.140625" style="64" customWidth="1"/>
    <col min="12496" max="12496" width="1" style="64" customWidth="1"/>
    <col min="12497" max="12499" width="3.28515625" style="64" customWidth="1"/>
    <col min="12500" max="12500" width="1.85546875" style="64" customWidth="1"/>
    <col min="12501" max="12501" width="17.85546875" style="64" customWidth="1"/>
    <col min="12502" max="12502" width="1.85546875" style="64" customWidth="1"/>
    <col min="12503" max="12505" width="3.28515625" style="64" customWidth="1"/>
    <col min="12506" max="12506" width="2.85546875" style="64" customWidth="1"/>
    <col min="12507" max="12507" width="1.85546875" style="64" customWidth="1"/>
    <col min="12508" max="12508" width="19.7109375" style="64" customWidth="1"/>
    <col min="12509" max="12509" width="1.85546875" style="64" customWidth="1"/>
    <col min="12510" max="12512" width="3" style="64" customWidth="1"/>
    <col min="12513" max="12513" width="4.42578125" style="64" customWidth="1"/>
    <col min="12514" max="12515" width="3" style="64" customWidth="1"/>
    <col min="12516" max="12521" width="3.28515625" style="64" customWidth="1"/>
    <col min="12522" max="12523" width="9.140625" style="64" customWidth="1"/>
    <col min="12524" max="12527" width="3.28515625" style="64" customWidth="1"/>
    <col min="12528" max="12528" width="4.140625" style="64" customWidth="1"/>
    <col min="12529" max="12529" width="1.7109375" style="64" customWidth="1"/>
    <col min="12530" max="12534" width="3.28515625" style="64" customWidth="1"/>
    <col min="12535" max="12535" width="1.7109375" style="64" customWidth="1"/>
    <col min="12536" max="12540" width="3.28515625" style="64" customWidth="1"/>
    <col min="12541" max="12546" width="9.140625" style="64" customWidth="1"/>
    <col min="12547" max="12547" width="1.7109375" style="64" customWidth="1"/>
    <col min="12548" max="12552" width="3.28515625" style="64" customWidth="1"/>
    <col min="12553" max="12553" width="1.7109375" style="64" customWidth="1"/>
    <col min="12554" max="12554" width="16.5703125" style="64" bestFit="1" customWidth="1"/>
    <col min="12555" max="12556" width="10.28515625" style="64" customWidth="1"/>
    <col min="12557" max="12557" width="18" style="64" bestFit="1" customWidth="1"/>
    <col min="12558" max="12742" width="9.140625" style="64"/>
    <col min="12743" max="12750" width="9.140625" style="64" customWidth="1"/>
    <col min="12751" max="12751" width="10.140625" style="64" customWidth="1"/>
    <col min="12752" max="12752" width="1" style="64" customWidth="1"/>
    <col min="12753" max="12755" width="3.28515625" style="64" customWidth="1"/>
    <col min="12756" max="12756" width="1.85546875" style="64" customWidth="1"/>
    <col min="12757" max="12757" width="17.85546875" style="64" customWidth="1"/>
    <col min="12758" max="12758" width="1.85546875" style="64" customWidth="1"/>
    <col min="12759" max="12761" width="3.28515625" style="64" customWidth="1"/>
    <col min="12762" max="12762" width="2.85546875" style="64" customWidth="1"/>
    <col min="12763" max="12763" width="1.85546875" style="64" customWidth="1"/>
    <col min="12764" max="12764" width="19.7109375" style="64" customWidth="1"/>
    <col min="12765" max="12765" width="1.85546875" style="64" customWidth="1"/>
    <col min="12766" max="12768" width="3" style="64" customWidth="1"/>
    <col min="12769" max="12769" width="4.42578125" style="64" customWidth="1"/>
    <col min="12770" max="12771" width="3" style="64" customWidth="1"/>
    <col min="12772" max="12777" width="3.28515625" style="64" customWidth="1"/>
    <col min="12778" max="12779" width="9.140625" style="64" customWidth="1"/>
    <col min="12780" max="12783" width="3.28515625" style="64" customWidth="1"/>
    <col min="12784" max="12784" width="4.140625" style="64" customWidth="1"/>
    <col min="12785" max="12785" width="1.7109375" style="64" customWidth="1"/>
    <col min="12786" max="12790" width="3.28515625" style="64" customWidth="1"/>
    <col min="12791" max="12791" width="1.7109375" style="64" customWidth="1"/>
    <col min="12792" max="12796" width="3.28515625" style="64" customWidth="1"/>
    <col min="12797" max="12802" width="9.140625" style="64" customWidth="1"/>
    <col min="12803" max="12803" width="1.7109375" style="64" customWidth="1"/>
    <col min="12804" max="12808" width="3.28515625" style="64" customWidth="1"/>
    <col min="12809" max="12809" width="1.7109375" style="64" customWidth="1"/>
    <col min="12810" max="12810" width="16.5703125" style="64" bestFit="1" customWidth="1"/>
    <col min="12811" max="12812" width="10.28515625" style="64" customWidth="1"/>
    <col min="12813" max="12813" width="18" style="64" bestFit="1" customWidth="1"/>
    <col min="12814" max="12998" width="9.140625" style="64"/>
    <col min="12999" max="13006" width="9.140625" style="64" customWidth="1"/>
    <col min="13007" max="13007" width="10.140625" style="64" customWidth="1"/>
    <col min="13008" max="13008" width="1" style="64" customWidth="1"/>
    <col min="13009" max="13011" width="3.28515625" style="64" customWidth="1"/>
    <col min="13012" max="13012" width="1.85546875" style="64" customWidth="1"/>
    <col min="13013" max="13013" width="17.85546875" style="64" customWidth="1"/>
    <col min="13014" max="13014" width="1.85546875" style="64" customWidth="1"/>
    <col min="13015" max="13017" width="3.28515625" style="64" customWidth="1"/>
    <col min="13018" max="13018" width="2.85546875" style="64" customWidth="1"/>
    <col min="13019" max="13019" width="1.85546875" style="64" customWidth="1"/>
    <col min="13020" max="13020" width="19.7109375" style="64" customWidth="1"/>
    <col min="13021" max="13021" width="1.85546875" style="64" customWidth="1"/>
    <col min="13022" max="13024" width="3" style="64" customWidth="1"/>
    <col min="13025" max="13025" width="4.42578125" style="64" customWidth="1"/>
    <col min="13026" max="13027" width="3" style="64" customWidth="1"/>
    <col min="13028" max="13033" width="3.28515625" style="64" customWidth="1"/>
    <col min="13034" max="13035" width="9.140625" style="64" customWidth="1"/>
    <col min="13036" max="13039" width="3.28515625" style="64" customWidth="1"/>
    <col min="13040" max="13040" width="4.140625" style="64" customWidth="1"/>
    <col min="13041" max="13041" width="1.7109375" style="64" customWidth="1"/>
    <col min="13042" max="13046" width="3.28515625" style="64" customWidth="1"/>
    <col min="13047" max="13047" width="1.7109375" style="64" customWidth="1"/>
    <col min="13048" max="13052" width="3.28515625" style="64" customWidth="1"/>
    <col min="13053" max="13058" width="9.140625" style="64" customWidth="1"/>
    <col min="13059" max="13059" width="1.7109375" style="64" customWidth="1"/>
    <col min="13060" max="13064" width="3.28515625" style="64" customWidth="1"/>
    <col min="13065" max="13065" width="1.7109375" style="64" customWidth="1"/>
    <col min="13066" max="13066" width="16.5703125" style="64" bestFit="1" customWidth="1"/>
    <col min="13067" max="13068" width="10.28515625" style="64" customWidth="1"/>
    <col min="13069" max="13069" width="18" style="64" bestFit="1" customWidth="1"/>
    <col min="13070" max="13254" width="9.140625" style="64"/>
    <col min="13255" max="13262" width="9.140625" style="64" customWidth="1"/>
    <col min="13263" max="13263" width="10.140625" style="64" customWidth="1"/>
    <col min="13264" max="13264" width="1" style="64" customWidth="1"/>
    <col min="13265" max="13267" width="3.28515625" style="64" customWidth="1"/>
    <col min="13268" max="13268" width="1.85546875" style="64" customWidth="1"/>
    <col min="13269" max="13269" width="17.85546875" style="64" customWidth="1"/>
    <col min="13270" max="13270" width="1.85546875" style="64" customWidth="1"/>
    <col min="13271" max="13273" width="3.28515625" style="64" customWidth="1"/>
    <col min="13274" max="13274" width="2.85546875" style="64" customWidth="1"/>
    <col min="13275" max="13275" width="1.85546875" style="64" customWidth="1"/>
    <col min="13276" max="13276" width="19.7109375" style="64" customWidth="1"/>
    <col min="13277" max="13277" width="1.85546875" style="64" customWidth="1"/>
    <col min="13278" max="13280" width="3" style="64" customWidth="1"/>
    <col min="13281" max="13281" width="4.42578125" style="64" customWidth="1"/>
    <col min="13282" max="13283" width="3" style="64" customWidth="1"/>
    <col min="13284" max="13289" width="3.28515625" style="64" customWidth="1"/>
    <col min="13290" max="13291" width="9.140625" style="64" customWidth="1"/>
    <col min="13292" max="13295" width="3.28515625" style="64" customWidth="1"/>
    <col min="13296" max="13296" width="4.140625" style="64" customWidth="1"/>
    <col min="13297" max="13297" width="1.7109375" style="64" customWidth="1"/>
    <col min="13298" max="13302" width="3.28515625" style="64" customWidth="1"/>
    <col min="13303" max="13303" width="1.7109375" style="64" customWidth="1"/>
    <col min="13304" max="13308" width="3.28515625" style="64" customWidth="1"/>
    <col min="13309" max="13314" width="9.140625" style="64" customWidth="1"/>
    <col min="13315" max="13315" width="1.7109375" style="64" customWidth="1"/>
    <col min="13316" max="13320" width="3.28515625" style="64" customWidth="1"/>
    <col min="13321" max="13321" width="1.7109375" style="64" customWidth="1"/>
    <col min="13322" max="13322" width="16.5703125" style="64" bestFit="1" customWidth="1"/>
    <col min="13323" max="13324" width="10.28515625" style="64" customWidth="1"/>
    <col min="13325" max="13325" width="18" style="64" bestFit="1" customWidth="1"/>
    <col min="13326" max="13510" width="9.140625" style="64"/>
    <col min="13511" max="13518" width="9.140625" style="64" customWidth="1"/>
    <col min="13519" max="13519" width="10.140625" style="64" customWidth="1"/>
    <col min="13520" max="13520" width="1" style="64" customWidth="1"/>
    <col min="13521" max="13523" width="3.28515625" style="64" customWidth="1"/>
    <col min="13524" max="13524" width="1.85546875" style="64" customWidth="1"/>
    <col min="13525" max="13525" width="17.85546875" style="64" customWidth="1"/>
    <col min="13526" max="13526" width="1.85546875" style="64" customWidth="1"/>
    <col min="13527" max="13529" width="3.28515625" style="64" customWidth="1"/>
    <col min="13530" max="13530" width="2.85546875" style="64" customWidth="1"/>
    <col min="13531" max="13531" width="1.85546875" style="64" customWidth="1"/>
    <col min="13532" max="13532" width="19.7109375" style="64" customWidth="1"/>
    <col min="13533" max="13533" width="1.85546875" style="64" customWidth="1"/>
    <col min="13534" max="13536" width="3" style="64" customWidth="1"/>
    <col min="13537" max="13537" width="4.42578125" style="64" customWidth="1"/>
    <col min="13538" max="13539" width="3" style="64" customWidth="1"/>
    <col min="13540" max="13545" width="3.28515625" style="64" customWidth="1"/>
    <col min="13546" max="13547" width="9.140625" style="64" customWidth="1"/>
    <col min="13548" max="13551" width="3.28515625" style="64" customWidth="1"/>
    <col min="13552" max="13552" width="4.140625" style="64" customWidth="1"/>
    <col min="13553" max="13553" width="1.7109375" style="64" customWidth="1"/>
    <col min="13554" max="13558" width="3.28515625" style="64" customWidth="1"/>
    <col min="13559" max="13559" width="1.7109375" style="64" customWidth="1"/>
    <col min="13560" max="13564" width="3.28515625" style="64" customWidth="1"/>
    <col min="13565" max="13570" width="9.140625" style="64" customWidth="1"/>
    <col min="13571" max="13571" width="1.7109375" style="64" customWidth="1"/>
    <col min="13572" max="13576" width="3.28515625" style="64" customWidth="1"/>
    <col min="13577" max="13577" width="1.7109375" style="64" customWidth="1"/>
    <col min="13578" max="13578" width="16.5703125" style="64" bestFit="1" customWidth="1"/>
    <col min="13579" max="13580" width="10.28515625" style="64" customWidth="1"/>
    <col min="13581" max="13581" width="18" style="64" bestFit="1" customWidth="1"/>
    <col min="13582" max="13766" width="9.140625" style="64"/>
    <col min="13767" max="13774" width="9.140625" style="64" customWidth="1"/>
    <col min="13775" max="13775" width="10.140625" style="64" customWidth="1"/>
    <col min="13776" max="13776" width="1" style="64" customWidth="1"/>
    <col min="13777" max="13779" width="3.28515625" style="64" customWidth="1"/>
    <col min="13780" max="13780" width="1.85546875" style="64" customWidth="1"/>
    <col min="13781" max="13781" width="17.85546875" style="64" customWidth="1"/>
    <col min="13782" max="13782" width="1.85546875" style="64" customWidth="1"/>
    <col min="13783" max="13785" width="3.28515625" style="64" customWidth="1"/>
    <col min="13786" max="13786" width="2.85546875" style="64" customWidth="1"/>
    <col min="13787" max="13787" width="1.85546875" style="64" customWidth="1"/>
    <col min="13788" max="13788" width="19.7109375" style="64" customWidth="1"/>
    <col min="13789" max="13789" width="1.85546875" style="64" customWidth="1"/>
    <col min="13790" max="13792" width="3" style="64" customWidth="1"/>
    <col min="13793" max="13793" width="4.42578125" style="64" customWidth="1"/>
    <col min="13794" max="13795" width="3" style="64" customWidth="1"/>
    <col min="13796" max="13801" width="3.28515625" style="64" customWidth="1"/>
    <col min="13802" max="13803" width="9.140625" style="64" customWidth="1"/>
    <col min="13804" max="13807" width="3.28515625" style="64" customWidth="1"/>
    <col min="13808" max="13808" width="4.140625" style="64" customWidth="1"/>
    <col min="13809" max="13809" width="1.7109375" style="64" customWidth="1"/>
    <col min="13810" max="13814" width="3.28515625" style="64" customWidth="1"/>
    <col min="13815" max="13815" width="1.7109375" style="64" customWidth="1"/>
    <col min="13816" max="13820" width="3.28515625" style="64" customWidth="1"/>
    <col min="13821" max="13826" width="9.140625" style="64" customWidth="1"/>
    <col min="13827" max="13827" width="1.7109375" style="64" customWidth="1"/>
    <col min="13828" max="13832" width="3.28515625" style="64" customWidth="1"/>
    <col min="13833" max="13833" width="1.7109375" style="64" customWidth="1"/>
    <col min="13834" max="13834" width="16.5703125" style="64" bestFit="1" customWidth="1"/>
    <col min="13835" max="13836" width="10.28515625" style="64" customWidth="1"/>
    <col min="13837" max="13837" width="18" style="64" bestFit="1" customWidth="1"/>
    <col min="13838" max="14022" width="9.140625" style="64"/>
    <col min="14023" max="14030" width="9.140625" style="64" customWidth="1"/>
    <col min="14031" max="14031" width="10.140625" style="64" customWidth="1"/>
    <col min="14032" max="14032" width="1" style="64" customWidth="1"/>
    <col min="14033" max="14035" width="3.28515625" style="64" customWidth="1"/>
    <col min="14036" max="14036" width="1.85546875" style="64" customWidth="1"/>
    <col min="14037" max="14037" width="17.85546875" style="64" customWidth="1"/>
    <col min="14038" max="14038" width="1.85546875" style="64" customWidth="1"/>
    <col min="14039" max="14041" width="3.28515625" style="64" customWidth="1"/>
    <col min="14042" max="14042" width="2.85546875" style="64" customWidth="1"/>
    <col min="14043" max="14043" width="1.85546875" style="64" customWidth="1"/>
    <col min="14044" max="14044" width="19.7109375" style="64" customWidth="1"/>
    <col min="14045" max="14045" width="1.85546875" style="64" customWidth="1"/>
    <col min="14046" max="14048" width="3" style="64" customWidth="1"/>
    <col min="14049" max="14049" width="4.42578125" style="64" customWidth="1"/>
    <col min="14050" max="14051" width="3" style="64" customWidth="1"/>
    <col min="14052" max="14057" width="3.28515625" style="64" customWidth="1"/>
    <col min="14058" max="14059" width="9.140625" style="64" customWidth="1"/>
    <col min="14060" max="14063" width="3.28515625" style="64" customWidth="1"/>
    <col min="14064" max="14064" width="4.140625" style="64" customWidth="1"/>
    <col min="14065" max="14065" width="1.7109375" style="64" customWidth="1"/>
    <col min="14066" max="14070" width="3.28515625" style="64" customWidth="1"/>
    <col min="14071" max="14071" width="1.7109375" style="64" customWidth="1"/>
    <col min="14072" max="14076" width="3.28515625" style="64" customWidth="1"/>
    <col min="14077" max="14082" width="9.140625" style="64" customWidth="1"/>
    <col min="14083" max="14083" width="1.7109375" style="64" customWidth="1"/>
    <col min="14084" max="14088" width="3.28515625" style="64" customWidth="1"/>
    <col min="14089" max="14089" width="1.7109375" style="64" customWidth="1"/>
    <col min="14090" max="14090" width="16.5703125" style="64" bestFit="1" customWidth="1"/>
    <col min="14091" max="14092" width="10.28515625" style="64" customWidth="1"/>
    <col min="14093" max="14093" width="18" style="64" bestFit="1" customWidth="1"/>
    <col min="14094" max="14278" width="9.140625" style="64"/>
    <col min="14279" max="14286" width="9.140625" style="64" customWidth="1"/>
    <col min="14287" max="14287" width="10.140625" style="64" customWidth="1"/>
    <col min="14288" max="14288" width="1" style="64" customWidth="1"/>
    <col min="14289" max="14291" width="3.28515625" style="64" customWidth="1"/>
    <col min="14292" max="14292" width="1.85546875" style="64" customWidth="1"/>
    <col min="14293" max="14293" width="17.85546875" style="64" customWidth="1"/>
    <col min="14294" max="14294" width="1.85546875" style="64" customWidth="1"/>
    <col min="14295" max="14297" width="3.28515625" style="64" customWidth="1"/>
    <col min="14298" max="14298" width="2.85546875" style="64" customWidth="1"/>
    <col min="14299" max="14299" width="1.85546875" style="64" customWidth="1"/>
    <col min="14300" max="14300" width="19.7109375" style="64" customWidth="1"/>
    <col min="14301" max="14301" width="1.85546875" style="64" customWidth="1"/>
    <col min="14302" max="14304" width="3" style="64" customWidth="1"/>
    <col min="14305" max="14305" width="4.42578125" style="64" customWidth="1"/>
    <col min="14306" max="14307" width="3" style="64" customWidth="1"/>
    <col min="14308" max="14313" width="3.28515625" style="64" customWidth="1"/>
    <col min="14314" max="14315" width="9.140625" style="64" customWidth="1"/>
    <col min="14316" max="14319" width="3.28515625" style="64" customWidth="1"/>
    <col min="14320" max="14320" width="4.140625" style="64" customWidth="1"/>
    <col min="14321" max="14321" width="1.7109375" style="64" customWidth="1"/>
    <col min="14322" max="14326" width="3.28515625" style="64" customWidth="1"/>
    <col min="14327" max="14327" width="1.7109375" style="64" customWidth="1"/>
    <col min="14328" max="14332" width="3.28515625" style="64" customWidth="1"/>
    <col min="14333" max="14338" width="9.140625" style="64" customWidth="1"/>
    <col min="14339" max="14339" width="1.7109375" style="64" customWidth="1"/>
    <col min="14340" max="14344" width="3.28515625" style="64" customWidth="1"/>
    <col min="14345" max="14345" width="1.7109375" style="64" customWidth="1"/>
    <col min="14346" max="14346" width="16.5703125" style="64" bestFit="1" customWidth="1"/>
    <col min="14347" max="14348" width="10.28515625" style="64" customWidth="1"/>
    <col min="14349" max="14349" width="18" style="64" bestFit="1" customWidth="1"/>
    <col min="14350" max="14534" width="9.140625" style="64"/>
    <col min="14535" max="14542" width="9.140625" style="64" customWidth="1"/>
    <col min="14543" max="14543" width="10.140625" style="64" customWidth="1"/>
    <col min="14544" max="14544" width="1" style="64" customWidth="1"/>
    <col min="14545" max="14547" width="3.28515625" style="64" customWidth="1"/>
    <col min="14548" max="14548" width="1.85546875" style="64" customWidth="1"/>
    <col min="14549" max="14549" width="17.85546875" style="64" customWidth="1"/>
    <col min="14550" max="14550" width="1.85546875" style="64" customWidth="1"/>
    <col min="14551" max="14553" width="3.28515625" style="64" customWidth="1"/>
    <col min="14554" max="14554" width="2.85546875" style="64" customWidth="1"/>
    <col min="14555" max="14555" width="1.85546875" style="64" customWidth="1"/>
    <col min="14556" max="14556" width="19.7109375" style="64" customWidth="1"/>
    <col min="14557" max="14557" width="1.85546875" style="64" customWidth="1"/>
    <col min="14558" max="14560" width="3" style="64" customWidth="1"/>
    <col min="14561" max="14561" width="4.42578125" style="64" customWidth="1"/>
    <col min="14562" max="14563" width="3" style="64" customWidth="1"/>
    <col min="14564" max="14569" width="3.28515625" style="64" customWidth="1"/>
    <col min="14570" max="14571" width="9.140625" style="64" customWidth="1"/>
    <col min="14572" max="14575" width="3.28515625" style="64" customWidth="1"/>
    <col min="14576" max="14576" width="4.140625" style="64" customWidth="1"/>
    <col min="14577" max="14577" width="1.7109375" style="64" customWidth="1"/>
    <col min="14578" max="14582" width="3.28515625" style="64" customWidth="1"/>
    <col min="14583" max="14583" width="1.7109375" style="64" customWidth="1"/>
    <col min="14584" max="14588" width="3.28515625" style="64" customWidth="1"/>
    <col min="14589" max="14594" width="9.140625" style="64" customWidth="1"/>
    <col min="14595" max="14595" width="1.7109375" style="64" customWidth="1"/>
    <col min="14596" max="14600" width="3.28515625" style="64" customWidth="1"/>
    <col min="14601" max="14601" width="1.7109375" style="64" customWidth="1"/>
    <col min="14602" max="14602" width="16.5703125" style="64" bestFit="1" customWidth="1"/>
    <col min="14603" max="14604" width="10.28515625" style="64" customWidth="1"/>
    <col min="14605" max="14605" width="18" style="64" bestFit="1" customWidth="1"/>
    <col min="14606" max="14790" width="9.140625" style="64"/>
    <col min="14791" max="14798" width="9.140625" style="64" customWidth="1"/>
    <col min="14799" max="14799" width="10.140625" style="64" customWidth="1"/>
    <col min="14800" max="14800" width="1" style="64" customWidth="1"/>
    <col min="14801" max="14803" width="3.28515625" style="64" customWidth="1"/>
    <col min="14804" max="14804" width="1.85546875" style="64" customWidth="1"/>
    <col min="14805" max="14805" width="17.85546875" style="64" customWidth="1"/>
    <col min="14806" max="14806" width="1.85546875" style="64" customWidth="1"/>
    <col min="14807" max="14809" width="3.28515625" style="64" customWidth="1"/>
    <col min="14810" max="14810" width="2.85546875" style="64" customWidth="1"/>
    <col min="14811" max="14811" width="1.85546875" style="64" customWidth="1"/>
    <col min="14812" max="14812" width="19.7109375" style="64" customWidth="1"/>
    <col min="14813" max="14813" width="1.85546875" style="64" customWidth="1"/>
    <col min="14814" max="14816" width="3" style="64" customWidth="1"/>
    <col min="14817" max="14817" width="4.42578125" style="64" customWidth="1"/>
    <col min="14818" max="14819" width="3" style="64" customWidth="1"/>
    <col min="14820" max="14825" width="3.28515625" style="64" customWidth="1"/>
    <col min="14826" max="14827" width="9.140625" style="64" customWidth="1"/>
    <col min="14828" max="14831" width="3.28515625" style="64" customWidth="1"/>
    <col min="14832" max="14832" width="4.140625" style="64" customWidth="1"/>
    <col min="14833" max="14833" width="1.7109375" style="64" customWidth="1"/>
    <col min="14834" max="14838" width="3.28515625" style="64" customWidth="1"/>
    <col min="14839" max="14839" width="1.7109375" style="64" customWidth="1"/>
    <col min="14840" max="14844" width="3.28515625" style="64" customWidth="1"/>
    <col min="14845" max="14850" width="9.140625" style="64" customWidth="1"/>
    <col min="14851" max="14851" width="1.7109375" style="64" customWidth="1"/>
    <col min="14852" max="14856" width="3.28515625" style="64" customWidth="1"/>
    <col min="14857" max="14857" width="1.7109375" style="64" customWidth="1"/>
    <col min="14858" max="14858" width="16.5703125" style="64" bestFit="1" customWidth="1"/>
    <col min="14859" max="14860" width="10.28515625" style="64" customWidth="1"/>
    <col min="14861" max="14861" width="18" style="64" bestFit="1" customWidth="1"/>
    <col min="14862" max="15046" width="9.140625" style="64"/>
    <col min="15047" max="15054" width="9.140625" style="64" customWidth="1"/>
    <col min="15055" max="15055" width="10.140625" style="64" customWidth="1"/>
    <col min="15056" max="15056" width="1" style="64" customWidth="1"/>
    <col min="15057" max="15059" width="3.28515625" style="64" customWidth="1"/>
    <col min="15060" max="15060" width="1.85546875" style="64" customWidth="1"/>
    <col min="15061" max="15061" width="17.85546875" style="64" customWidth="1"/>
    <col min="15062" max="15062" width="1.85546875" style="64" customWidth="1"/>
    <col min="15063" max="15065" width="3.28515625" style="64" customWidth="1"/>
    <col min="15066" max="15066" width="2.85546875" style="64" customWidth="1"/>
    <col min="15067" max="15067" width="1.85546875" style="64" customWidth="1"/>
    <col min="15068" max="15068" width="19.7109375" style="64" customWidth="1"/>
    <col min="15069" max="15069" width="1.85546875" style="64" customWidth="1"/>
    <col min="15070" max="15072" width="3" style="64" customWidth="1"/>
    <col min="15073" max="15073" width="4.42578125" style="64" customWidth="1"/>
    <col min="15074" max="15075" width="3" style="64" customWidth="1"/>
    <col min="15076" max="15081" width="3.28515625" style="64" customWidth="1"/>
    <col min="15082" max="15083" width="9.140625" style="64" customWidth="1"/>
    <col min="15084" max="15087" width="3.28515625" style="64" customWidth="1"/>
    <col min="15088" max="15088" width="4.140625" style="64" customWidth="1"/>
    <col min="15089" max="15089" width="1.7109375" style="64" customWidth="1"/>
    <col min="15090" max="15094" width="3.28515625" style="64" customWidth="1"/>
    <col min="15095" max="15095" width="1.7109375" style="64" customWidth="1"/>
    <col min="15096" max="15100" width="3.28515625" style="64" customWidth="1"/>
    <col min="15101" max="15106" width="9.140625" style="64" customWidth="1"/>
    <col min="15107" max="15107" width="1.7109375" style="64" customWidth="1"/>
    <col min="15108" max="15112" width="3.28515625" style="64" customWidth="1"/>
    <col min="15113" max="15113" width="1.7109375" style="64" customWidth="1"/>
    <col min="15114" max="15114" width="16.5703125" style="64" bestFit="1" customWidth="1"/>
    <col min="15115" max="15116" width="10.28515625" style="64" customWidth="1"/>
    <col min="15117" max="15117" width="18" style="64" bestFit="1" customWidth="1"/>
    <col min="15118" max="15302" width="9.140625" style="64"/>
    <col min="15303" max="15310" width="9.140625" style="64" customWidth="1"/>
    <col min="15311" max="15311" width="10.140625" style="64" customWidth="1"/>
    <col min="15312" max="15312" width="1" style="64" customWidth="1"/>
    <col min="15313" max="15315" width="3.28515625" style="64" customWidth="1"/>
    <col min="15316" max="15316" width="1.85546875" style="64" customWidth="1"/>
    <col min="15317" max="15317" width="17.85546875" style="64" customWidth="1"/>
    <col min="15318" max="15318" width="1.85546875" style="64" customWidth="1"/>
    <col min="15319" max="15321" width="3.28515625" style="64" customWidth="1"/>
    <col min="15322" max="15322" width="2.85546875" style="64" customWidth="1"/>
    <col min="15323" max="15323" width="1.85546875" style="64" customWidth="1"/>
    <col min="15324" max="15324" width="19.7109375" style="64" customWidth="1"/>
    <col min="15325" max="15325" width="1.85546875" style="64" customWidth="1"/>
    <col min="15326" max="15328" width="3" style="64" customWidth="1"/>
    <col min="15329" max="15329" width="4.42578125" style="64" customWidth="1"/>
    <col min="15330" max="15331" width="3" style="64" customWidth="1"/>
    <col min="15332" max="15337" width="3.28515625" style="64" customWidth="1"/>
    <col min="15338" max="15339" width="9.140625" style="64" customWidth="1"/>
    <col min="15340" max="15343" width="3.28515625" style="64" customWidth="1"/>
    <col min="15344" max="15344" width="4.140625" style="64" customWidth="1"/>
    <col min="15345" max="15345" width="1.7109375" style="64" customWidth="1"/>
    <col min="15346" max="15350" width="3.28515625" style="64" customWidth="1"/>
    <col min="15351" max="15351" width="1.7109375" style="64" customWidth="1"/>
    <col min="15352" max="15356" width="3.28515625" style="64" customWidth="1"/>
    <col min="15357" max="15362" width="9.140625" style="64" customWidth="1"/>
    <col min="15363" max="15363" width="1.7109375" style="64" customWidth="1"/>
    <col min="15364" max="15368" width="3.28515625" style="64" customWidth="1"/>
    <col min="15369" max="15369" width="1.7109375" style="64" customWidth="1"/>
    <col min="15370" max="15370" width="16.5703125" style="64" bestFit="1" customWidth="1"/>
    <col min="15371" max="15372" width="10.28515625" style="64" customWidth="1"/>
    <col min="15373" max="15373" width="18" style="64" bestFit="1" customWidth="1"/>
    <col min="15374" max="15558" width="9.140625" style="64"/>
    <col min="15559" max="15566" width="9.140625" style="64" customWidth="1"/>
    <col min="15567" max="15567" width="10.140625" style="64" customWidth="1"/>
    <col min="15568" max="15568" width="1" style="64" customWidth="1"/>
    <col min="15569" max="15571" width="3.28515625" style="64" customWidth="1"/>
    <col min="15572" max="15572" width="1.85546875" style="64" customWidth="1"/>
    <col min="15573" max="15573" width="17.85546875" style="64" customWidth="1"/>
    <col min="15574" max="15574" width="1.85546875" style="64" customWidth="1"/>
    <col min="15575" max="15577" width="3.28515625" style="64" customWidth="1"/>
    <col min="15578" max="15578" width="2.85546875" style="64" customWidth="1"/>
    <col min="15579" max="15579" width="1.85546875" style="64" customWidth="1"/>
    <col min="15580" max="15580" width="19.7109375" style="64" customWidth="1"/>
    <col min="15581" max="15581" width="1.85546875" style="64" customWidth="1"/>
    <col min="15582" max="15584" width="3" style="64" customWidth="1"/>
    <col min="15585" max="15585" width="4.42578125" style="64" customWidth="1"/>
    <col min="15586" max="15587" width="3" style="64" customWidth="1"/>
    <col min="15588" max="15593" width="3.28515625" style="64" customWidth="1"/>
    <col min="15594" max="15595" width="9.140625" style="64" customWidth="1"/>
    <col min="15596" max="15599" width="3.28515625" style="64" customWidth="1"/>
    <col min="15600" max="15600" width="4.140625" style="64" customWidth="1"/>
    <col min="15601" max="15601" width="1.7109375" style="64" customWidth="1"/>
    <col min="15602" max="15606" width="3.28515625" style="64" customWidth="1"/>
    <col min="15607" max="15607" width="1.7109375" style="64" customWidth="1"/>
    <col min="15608" max="15612" width="3.28515625" style="64" customWidth="1"/>
    <col min="15613" max="15618" width="9.140625" style="64" customWidth="1"/>
    <col min="15619" max="15619" width="1.7109375" style="64" customWidth="1"/>
    <col min="15620" max="15624" width="3.28515625" style="64" customWidth="1"/>
    <col min="15625" max="15625" width="1.7109375" style="64" customWidth="1"/>
    <col min="15626" max="15626" width="16.5703125" style="64" bestFit="1" customWidth="1"/>
    <col min="15627" max="15628" width="10.28515625" style="64" customWidth="1"/>
    <col min="15629" max="15629" width="18" style="64" bestFit="1" customWidth="1"/>
    <col min="15630" max="15814" width="9.140625" style="64"/>
    <col min="15815" max="15822" width="9.140625" style="64" customWidth="1"/>
    <col min="15823" max="15823" width="10.140625" style="64" customWidth="1"/>
    <col min="15824" max="15824" width="1" style="64" customWidth="1"/>
    <col min="15825" max="15827" width="3.28515625" style="64" customWidth="1"/>
    <col min="15828" max="15828" width="1.85546875" style="64" customWidth="1"/>
    <col min="15829" max="15829" width="17.85546875" style="64" customWidth="1"/>
    <col min="15830" max="15830" width="1.85546875" style="64" customWidth="1"/>
    <col min="15831" max="15833" width="3.28515625" style="64" customWidth="1"/>
    <col min="15834" max="15834" width="2.85546875" style="64" customWidth="1"/>
    <col min="15835" max="15835" width="1.85546875" style="64" customWidth="1"/>
    <col min="15836" max="15836" width="19.7109375" style="64" customWidth="1"/>
    <col min="15837" max="15837" width="1.85546875" style="64" customWidth="1"/>
    <col min="15838" max="15840" width="3" style="64" customWidth="1"/>
    <col min="15841" max="15841" width="4.42578125" style="64" customWidth="1"/>
    <col min="15842" max="15843" width="3" style="64" customWidth="1"/>
    <col min="15844" max="15849" width="3.28515625" style="64" customWidth="1"/>
    <col min="15850" max="15851" width="9.140625" style="64" customWidth="1"/>
    <col min="15852" max="15855" width="3.28515625" style="64" customWidth="1"/>
    <col min="15856" max="15856" width="4.140625" style="64" customWidth="1"/>
    <col min="15857" max="15857" width="1.7109375" style="64" customWidth="1"/>
    <col min="15858" max="15862" width="3.28515625" style="64" customWidth="1"/>
    <col min="15863" max="15863" width="1.7109375" style="64" customWidth="1"/>
    <col min="15864" max="15868" width="3.28515625" style="64" customWidth="1"/>
    <col min="15869" max="15874" width="9.140625" style="64" customWidth="1"/>
    <col min="15875" max="15875" width="1.7109375" style="64" customWidth="1"/>
    <col min="15876" max="15880" width="3.28515625" style="64" customWidth="1"/>
    <col min="15881" max="15881" width="1.7109375" style="64" customWidth="1"/>
    <col min="15882" max="15882" width="16.5703125" style="64" bestFit="1" customWidth="1"/>
    <col min="15883" max="15884" width="10.28515625" style="64" customWidth="1"/>
    <col min="15885" max="15885" width="18" style="64" bestFit="1" customWidth="1"/>
    <col min="15886" max="16070" width="9.140625" style="64"/>
    <col min="16071" max="16078" width="9.140625" style="64" customWidth="1"/>
    <col min="16079" max="16079" width="10.140625" style="64" customWidth="1"/>
    <col min="16080" max="16080" width="1" style="64" customWidth="1"/>
    <col min="16081" max="16083" width="3.28515625" style="64" customWidth="1"/>
    <col min="16084" max="16084" width="1.85546875" style="64" customWidth="1"/>
    <col min="16085" max="16085" width="17.85546875" style="64" customWidth="1"/>
    <col min="16086" max="16086" width="1.85546875" style="64" customWidth="1"/>
    <col min="16087" max="16089" width="3.28515625" style="64" customWidth="1"/>
    <col min="16090" max="16090" width="2.85546875" style="64" customWidth="1"/>
    <col min="16091" max="16091" width="1.85546875" style="64" customWidth="1"/>
    <col min="16092" max="16092" width="19.7109375" style="64" customWidth="1"/>
    <col min="16093" max="16093" width="1.85546875" style="64" customWidth="1"/>
    <col min="16094" max="16096" width="3" style="64" customWidth="1"/>
    <col min="16097" max="16097" width="4.42578125" style="64" customWidth="1"/>
    <col min="16098" max="16099" width="3" style="64" customWidth="1"/>
    <col min="16100" max="16105" width="3.28515625" style="64" customWidth="1"/>
    <col min="16106" max="16107" width="9.140625" style="64" customWidth="1"/>
    <col min="16108" max="16111" width="3.28515625" style="64" customWidth="1"/>
    <col min="16112" max="16112" width="4.140625" style="64" customWidth="1"/>
    <col min="16113" max="16113" width="1.7109375" style="64" customWidth="1"/>
    <col min="16114" max="16118" width="3.28515625" style="64" customWidth="1"/>
    <col min="16119" max="16119" width="1.7109375" style="64" customWidth="1"/>
    <col min="16120" max="16124" width="3.28515625" style="64" customWidth="1"/>
    <col min="16125" max="16130" width="9.140625" style="64" customWidth="1"/>
    <col min="16131" max="16131" width="1.7109375" style="64" customWidth="1"/>
    <col min="16132" max="16136" width="3.28515625" style="64" customWidth="1"/>
    <col min="16137" max="16137" width="1.7109375" style="64" customWidth="1"/>
    <col min="16138" max="16138" width="16.5703125" style="64" bestFit="1" customWidth="1"/>
    <col min="16139" max="16140" width="10.28515625" style="64" customWidth="1"/>
    <col min="16141" max="16141" width="18" style="64" bestFit="1" customWidth="1"/>
    <col min="16142" max="16384" width="9.140625" style="64"/>
  </cols>
  <sheetData>
    <row r="1" spans="1:29" s="57" customFormat="1" ht="15" customHeight="1">
      <c r="A1" s="575" t="s">
        <v>1218</v>
      </c>
      <c r="D1" s="576"/>
      <c r="F1" s="577"/>
      <c r="G1" s="577"/>
      <c r="Y1" s="414" t="s">
        <v>2835</v>
      </c>
      <c r="Z1" s="415"/>
      <c r="AA1" s="415"/>
      <c r="AB1" s="416"/>
      <c r="AC1" s="578"/>
    </row>
    <row r="2" spans="1:29" s="57" customFormat="1" ht="9.1999999999999993" customHeight="1" thickBot="1">
      <c r="D2" s="576"/>
      <c r="F2" s="577"/>
      <c r="G2" s="577"/>
      <c r="Y2" s="417"/>
      <c r="Z2" s="418"/>
      <c r="AA2" s="418"/>
      <c r="AB2" s="419"/>
      <c r="AC2" s="578"/>
    </row>
    <row r="3" spans="1:29" s="57" customFormat="1" ht="15" customHeight="1">
      <c r="A3" s="64" t="s">
        <v>1220</v>
      </c>
      <c r="D3" s="576"/>
      <c r="F3" s="577"/>
      <c r="G3" s="577"/>
      <c r="AC3" s="578"/>
    </row>
    <row r="4" spans="1:29" s="57" customFormat="1" ht="15" customHeight="1">
      <c r="A4" s="64" t="s">
        <v>1221</v>
      </c>
      <c r="D4" s="576"/>
      <c r="F4" s="577"/>
      <c r="G4" s="577"/>
      <c r="AC4" s="578"/>
    </row>
    <row r="5" spans="1:29" s="57" customFormat="1" ht="15" customHeight="1">
      <c r="D5" s="576"/>
      <c r="F5" s="577"/>
      <c r="G5" s="577"/>
      <c r="AC5" s="578"/>
    </row>
    <row r="6" spans="1:29" ht="76.5" customHeight="1">
      <c r="A6" s="579" t="s">
        <v>2836</v>
      </c>
      <c r="C6" s="580"/>
      <c r="D6" s="581"/>
      <c r="E6" s="580"/>
      <c r="F6" s="582"/>
      <c r="G6" s="582"/>
      <c r="H6" s="580"/>
      <c r="I6" s="580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583"/>
    </row>
    <row r="7" spans="1:29" ht="15" customHeight="1" thickBot="1">
      <c r="B7" s="64"/>
      <c r="C7" s="65"/>
      <c r="E7" s="65"/>
      <c r="F7" s="584"/>
      <c r="G7" s="58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583"/>
    </row>
    <row r="8" spans="1:29" ht="23.45" customHeight="1" thickBot="1">
      <c r="A8" s="887" t="s">
        <v>1223</v>
      </c>
      <c r="B8" s="888"/>
      <c r="C8" s="888"/>
      <c r="D8" s="888"/>
      <c r="E8" s="888"/>
      <c r="F8" s="888"/>
      <c r="G8" s="888"/>
      <c r="H8" s="888"/>
      <c r="I8" s="889"/>
      <c r="J8" s="65"/>
      <c r="K8" s="585" t="s">
        <v>2837</v>
      </c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69"/>
      <c r="AC8" s="583"/>
    </row>
    <row r="9" spans="1:29" ht="15" customHeight="1">
      <c r="A9" s="586"/>
      <c r="B9" s="72"/>
      <c r="C9" s="587"/>
      <c r="D9" s="72"/>
      <c r="E9" s="588"/>
      <c r="F9" s="588"/>
      <c r="G9" s="72"/>
      <c r="H9" s="72"/>
      <c r="I9" s="73"/>
      <c r="J9" s="65"/>
      <c r="K9" s="30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3"/>
      <c r="AC9" s="583"/>
    </row>
    <row r="10" spans="1:29" ht="15" customHeight="1">
      <c r="A10" s="589" t="s">
        <v>1224</v>
      </c>
      <c r="B10" s="308">
        <v>60</v>
      </c>
      <c r="C10" s="763" t="s">
        <v>1957</v>
      </c>
      <c r="D10" s="589" t="s">
        <v>2653</v>
      </c>
      <c r="E10" s="75" t="s">
        <v>4497</v>
      </c>
      <c r="F10" s="75">
        <v>9</v>
      </c>
      <c r="G10" s="75">
        <v>6</v>
      </c>
      <c r="H10" s="75">
        <v>0</v>
      </c>
      <c r="I10" s="76"/>
      <c r="J10" s="65"/>
      <c r="K10" s="590" t="s">
        <v>2838</v>
      </c>
      <c r="L10" s="591"/>
      <c r="M10" s="591"/>
      <c r="N10" s="591"/>
      <c r="O10" s="591"/>
      <c r="P10" s="592"/>
      <c r="Q10" s="592"/>
      <c r="R10" s="593">
        <v>2</v>
      </c>
      <c r="S10" s="593">
        <v>0</v>
      </c>
      <c r="T10" s="593">
        <v>2</v>
      </c>
      <c r="U10" s="593">
        <v>4</v>
      </c>
      <c r="V10" s="592"/>
      <c r="W10" s="592"/>
      <c r="X10" s="592"/>
      <c r="Y10" s="592"/>
      <c r="Z10" s="592"/>
      <c r="AA10" s="592"/>
      <c r="AB10" s="594"/>
      <c r="AC10" s="583"/>
    </row>
    <row r="11" spans="1:29">
      <c r="A11" s="595"/>
      <c r="C11" s="596"/>
      <c r="D11" s="65"/>
      <c r="E11" s="584"/>
      <c r="F11" s="584"/>
      <c r="G11" s="65"/>
      <c r="H11" s="65"/>
      <c r="I11" s="76"/>
      <c r="J11" s="65"/>
      <c r="K11" s="304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76"/>
      <c r="AC11" s="583"/>
    </row>
    <row r="12" spans="1:29" ht="15" customHeight="1">
      <c r="A12" s="595"/>
      <c r="C12" s="596"/>
      <c r="D12" s="65"/>
      <c r="E12" s="584"/>
      <c r="F12" s="584"/>
      <c r="G12" s="65"/>
      <c r="H12" s="65"/>
      <c r="I12" s="76"/>
      <c r="J12" s="65"/>
      <c r="K12" s="597" t="s">
        <v>2839</v>
      </c>
      <c r="L12" s="598"/>
      <c r="M12" s="598"/>
      <c r="N12" s="598"/>
      <c r="O12" s="598"/>
      <c r="P12" s="598"/>
      <c r="Q12" s="65">
        <v>1</v>
      </c>
      <c r="R12" s="75"/>
      <c r="S12" s="65"/>
      <c r="T12" s="65">
        <v>2</v>
      </c>
      <c r="U12" s="75"/>
      <c r="V12" s="65"/>
      <c r="W12" s="65">
        <v>3</v>
      </c>
      <c r="X12" s="75"/>
      <c r="Y12" s="65"/>
      <c r="Z12" s="65">
        <v>4</v>
      </c>
      <c r="AA12" s="75"/>
      <c r="AB12" s="76"/>
      <c r="AC12" s="583"/>
    </row>
    <row r="13" spans="1:29" ht="10.15" customHeight="1">
      <c r="A13" s="595"/>
      <c r="C13" s="596"/>
      <c r="D13" s="65"/>
      <c r="E13" s="584"/>
      <c r="F13" s="584"/>
      <c r="G13" s="65"/>
      <c r="H13" s="65"/>
      <c r="I13" s="76"/>
      <c r="J13" s="65"/>
      <c r="K13" s="304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76"/>
      <c r="AC13" s="583"/>
    </row>
    <row r="14" spans="1:29" ht="15" customHeight="1">
      <c r="A14" s="595"/>
      <c r="C14" s="596"/>
      <c r="D14" s="65"/>
      <c r="E14" s="584"/>
      <c r="F14" s="584"/>
      <c r="G14" s="65"/>
      <c r="H14" s="65"/>
      <c r="I14" s="76"/>
      <c r="J14" s="65"/>
      <c r="K14" s="597" t="s">
        <v>1955</v>
      </c>
      <c r="L14" s="598"/>
      <c r="M14" s="598"/>
      <c r="N14" s="598"/>
      <c r="O14" s="598"/>
      <c r="P14" s="598"/>
      <c r="Q14" s="65"/>
      <c r="R14" s="75"/>
      <c r="S14" s="65"/>
      <c r="T14" s="65"/>
      <c r="U14" s="598" t="s">
        <v>2840</v>
      </c>
      <c r="V14" s="77"/>
      <c r="W14" s="77"/>
      <c r="X14" s="77"/>
      <c r="Y14" s="77"/>
      <c r="Z14" s="420"/>
      <c r="AA14" s="75" t="s">
        <v>4498</v>
      </c>
      <c r="AB14" s="76"/>
      <c r="AC14" s="583"/>
    </row>
    <row r="15" spans="1:29" ht="15" customHeight="1" thickBot="1">
      <c r="A15" s="599"/>
      <c r="B15" s="80"/>
      <c r="C15" s="600"/>
      <c r="D15" s="80"/>
      <c r="E15" s="601"/>
      <c r="F15" s="601"/>
      <c r="G15" s="80"/>
      <c r="H15" s="80"/>
      <c r="I15" s="81"/>
      <c r="J15" s="65"/>
      <c r="K15" s="306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1"/>
      <c r="AC15" s="583"/>
    </row>
    <row r="16" spans="1:29" ht="7.5" customHeight="1">
      <c r="B16" s="64"/>
      <c r="C16" s="65"/>
      <c r="D16" s="596"/>
      <c r="E16" s="65"/>
      <c r="F16" s="584"/>
      <c r="G16" s="58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583"/>
    </row>
    <row r="17" spans="1:29" ht="7.5" customHeight="1">
      <c r="B17" s="64"/>
      <c r="C17" s="65"/>
      <c r="D17" s="596"/>
      <c r="E17" s="65"/>
      <c r="F17" s="584"/>
      <c r="G17" s="584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583"/>
    </row>
    <row r="18" spans="1:29" ht="7.5" customHeight="1">
      <c r="B18" s="64"/>
      <c r="C18" s="65"/>
      <c r="D18" s="596"/>
      <c r="E18" s="65"/>
      <c r="F18" s="584"/>
      <c r="G18" s="58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583"/>
    </row>
    <row r="19" spans="1:29" ht="7.5" customHeight="1" thickBot="1">
      <c r="B19" s="64"/>
      <c r="C19" s="65"/>
      <c r="D19" s="596"/>
      <c r="E19" s="65"/>
      <c r="F19" s="584"/>
      <c r="G19" s="58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583"/>
    </row>
    <row r="20" spans="1:29" ht="23.45" customHeight="1" thickBot="1">
      <c r="A20" s="887" t="s">
        <v>1226</v>
      </c>
      <c r="B20" s="888"/>
      <c r="C20" s="888"/>
      <c r="D20" s="888"/>
      <c r="E20" s="888"/>
      <c r="F20" s="888"/>
      <c r="G20" s="888"/>
      <c r="H20" s="888"/>
      <c r="I20" s="888"/>
      <c r="J20" s="888"/>
      <c r="K20" s="888"/>
      <c r="L20" s="888"/>
      <c r="M20" s="888"/>
      <c r="N20" s="888"/>
      <c r="O20" s="888"/>
      <c r="P20" s="888"/>
      <c r="Q20" s="888"/>
      <c r="R20" s="888"/>
      <c r="S20" s="888"/>
      <c r="T20" s="888"/>
      <c r="U20" s="888"/>
      <c r="V20" s="888"/>
      <c r="W20" s="888"/>
      <c r="X20" s="888"/>
      <c r="Y20" s="888"/>
      <c r="Z20" s="888"/>
      <c r="AA20" s="888"/>
      <c r="AB20" s="889"/>
      <c r="AC20" s="583"/>
    </row>
    <row r="21" spans="1:29" ht="15" customHeight="1">
      <c r="A21" s="602"/>
      <c r="B21" s="603"/>
      <c r="C21" s="84"/>
      <c r="D21" s="604"/>
      <c r="E21" s="84"/>
      <c r="F21" s="605"/>
      <c r="G21" s="606"/>
      <c r="H21" s="607"/>
      <c r="I21" s="607"/>
      <c r="J21" s="607"/>
      <c r="K21" s="607"/>
      <c r="L21" s="607"/>
      <c r="M21" s="607"/>
      <c r="N21" s="607"/>
      <c r="O21" s="607"/>
      <c r="P21" s="607"/>
      <c r="Q21" s="607"/>
      <c r="R21" s="607"/>
      <c r="S21" s="607"/>
      <c r="T21" s="607"/>
      <c r="U21" s="607"/>
      <c r="V21" s="607"/>
      <c r="W21" s="607"/>
      <c r="X21" s="607"/>
      <c r="Y21" s="607"/>
      <c r="Z21" s="607"/>
      <c r="AA21" s="607"/>
      <c r="AB21" s="608"/>
      <c r="AC21" s="583"/>
    </row>
    <row r="22" spans="1:29" ht="15" customHeight="1">
      <c r="A22" s="304"/>
      <c r="C22" s="65"/>
      <c r="D22" s="65"/>
      <c r="E22" s="77"/>
      <c r="F22" s="65"/>
      <c r="G22" s="609"/>
      <c r="I22" s="77" t="s">
        <v>1956</v>
      </c>
      <c r="J22" s="75"/>
      <c r="K22" s="65"/>
      <c r="L22" s="65"/>
      <c r="M22" s="77" t="s">
        <v>1227</v>
      </c>
      <c r="N22" s="7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76"/>
      <c r="AC22" s="583"/>
    </row>
    <row r="23" spans="1:29" ht="15" customHeight="1" thickBot="1">
      <c r="A23" s="306"/>
      <c r="B23" s="80"/>
      <c r="C23" s="80"/>
      <c r="D23" s="600"/>
      <c r="E23" s="80"/>
      <c r="F23" s="601"/>
      <c r="G23" s="601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1"/>
      <c r="AC23" s="583"/>
    </row>
    <row r="24" spans="1:29" ht="7.5" customHeight="1">
      <c r="C24" s="65"/>
      <c r="D24" s="596"/>
      <c r="E24" s="72"/>
      <c r="F24" s="588"/>
      <c r="G24" s="588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583"/>
    </row>
    <row r="25" spans="1:29" ht="7.5" customHeight="1">
      <c r="C25" s="65"/>
      <c r="D25" s="596"/>
      <c r="E25" s="65"/>
      <c r="F25" s="584"/>
      <c r="G25" s="584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583"/>
    </row>
    <row r="26" spans="1:29" ht="7.5" customHeight="1">
      <c r="C26" s="65"/>
      <c r="D26" s="596"/>
      <c r="E26" s="65"/>
      <c r="F26" s="584"/>
      <c r="G26" s="584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583"/>
    </row>
    <row r="27" spans="1:29" ht="7.5" customHeight="1">
      <c r="C27" s="65"/>
      <c r="D27" s="596"/>
      <c r="E27" s="65"/>
      <c r="F27" s="584"/>
      <c r="G27" s="584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583"/>
    </row>
    <row r="28" spans="1:29" ht="21.75" customHeight="1" thickBot="1">
      <c r="A28" s="610"/>
      <c r="B28" s="610"/>
      <c r="C28" s="610"/>
      <c r="D28" s="596" t="s">
        <v>2841</v>
      </c>
      <c r="E28" s="610"/>
      <c r="F28" s="611"/>
      <c r="G28" s="611"/>
      <c r="H28" s="610"/>
      <c r="I28" s="610"/>
      <c r="J28" s="610"/>
      <c r="K28" s="610"/>
      <c r="L28" s="610"/>
      <c r="M28" s="610"/>
      <c r="N28" s="610"/>
      <c r="O28" s="610"/>
      <c r="P28" s="610"/>
      <c r="Q28" s="610"/>
      <c r="R28" s="610"/>
      <c r="S28" s="610"/>
      <c r="T28" s="610"/>
      <c r="U28" s="610"/>
      <c r="V28" s="610"/>
      <c r="W28" s="610"/>
      <c r="Y28" s="612"/>
      <c r="Z28" s="612"/>
      <c r="AA28" s="612"/>
      <c r="AB28" s="612"/>
    </row>
    <row r="29" spans="1:29" ht="51.75" customHeight="1" thickBot="1">
      <c r="A29" s="613" t="s">
        <v>1228</v>
      </c>
      <c r="B29" s="614" t="s">
        <v>1229</v>
      </c>
      <c r="C29" s="615" t="s">
        <v>1230</v>
      </c>
      <c r="D29" s="616" t="s">
        <v>3898</v>
      </c>
      <c r="E29" s="617" t="s">
        <v>2842</v>
      </c>
      <c r="F29" s="618"/>
      <c r="G29" s="619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</row>
    <row r="30" spans="1:29" s="627" customFormat="1" ht="24.95" customHeight="1">
      <c r="A30" s="621"/>
      <c r="B30" s="622" t="s">
        <v>2843</v>
      </c>
      <c r="C30" s="623" t="s">
        <v>2844</v>
      </c>
      <c r="D30" s="624">
        <f>+D31+D58+D95</f>
        <v>443347.45999999996</v>
      </c>
      <c r="E30" s="624">
        <f>+E31+E58+E95</f>
        <v>421699.63999999996</v>
      </c>
      <c r="F30" s="625"/>
      <c r="G30" s="626"/>
      <c r="J30" s="628"/>
    </row>
    <row r="31" spans="1:29" s="627" customFormat="1" ht="24.95" customHeight="1">
      <c r="A31" s="629"/>
      <c r="B31" s="630" t="s">
        <v>2845</v>
      </c>
      <c r="C31" s="631" t="s">
        <v>2846</v>
      </c>
      <c r="D31" s="632">
        <f>+D32+D35+D38+D43+D44-D53</f>
        <v>2339.8999999999942</v>
      </c>
      <c r="E31" s="632">
        <f>+E32+E35+E38+E43+E44-E53</f>
        <v>6068.1800000000076</v>
      </c>
      <c r="F31" s="633"/>
      <c r="G31" s="626"/>
      <c r="J31" s="628"/>
    </row>
    <row r="32" spans="1:29" s="638" customFormat="1" ht="24.95" customHeight="1">
      <c r="A32" s="634"/>
      <c r="B32" s="635" t="s">
        <v>2847</v>
      </c>
      <c r="C32" s="636" t="s">
        <v>2848</v>
      </c>
      <c r="D32" s="637">
        <f>+D33-D34</f>
        <v>0</v>
      </c>
      <c r="E32" s="637">
        <f>+E33-E34</f>
        <v>0</v>
      </c>
      <c r="F32" s="625"/>
      <c r="G32" s="626"/>
      <c r="J32" s="628"/>
      <c r="K32" s="627"/>
    </row>
    <row r="33" spans="1:11" s="644" customFormat="1" ht="24.95" customHeight="1">
      <c r="A33" s="639"/>
      <c r="B33" s="640" t="s">
        <v>2849</v>
      </c>
      <c r="C33" s="641" t="s">
        <v>2850</v>
      </c>
      <c r="D33" s="642">
        <f>+'SP Att Alim'!F7</f>
        <v>0</v>
      </c>
      <c r="E33" s="642">
        <f>+'SP Att Alim'!G7</f>
        <v>0</v>
      </c>
      <c r="F33" s="625"/>
      <c r="G33" s="643"/>
      <c r="J33" s="628">
        <f>+'[1]SP Attivo Alim'!I18</f>
        <v>0</v>
      </c>
      <c r="K33" s="627"/>
    </row>
    <row r="34" spans="1:11" s="644" customFormat="1" ht="24.95" customHeight="1">
      <c r="A34" s="639"/>
      <c r="B34" s="640" t="s">
        <v>2851</v>
      </c>
      <c r="C34" s="641" t="s">
        <v>2852</v>
      </c>
      <c r="D34" s="642">
        <f>-'SP Att Alim'!F9</f>
        <v>0</v>
      </c>
      <c r="E34" s="642">
        <f>-'SP Att Alim'!G9</f>
        <v>0</v>
      </c>
      <c r="F34" s="625"/>
      <c r="G34" s="643"/>
      <c r="J34" s="628"/>
      <c r="K34" s="627"/>
    </row>
    <row r="35" spans="1:11" s="644" customFormat="1" ht="24.95" customHeight="1">
      <c r="A35" s="645"/>
      <c r="B35" s="635" t="s">
        <v>2853</v>
      </c>
      <c r="C35" s="636" t="s">
        <v>2854</v>
      </c>
      <c r="D35" s="637">
        <f>+D36-D37</f>
        <v>0</v>
      </c>
      <c r="E35" s="637">
        <f>+E36-E37</f>
        <v>0</v>
      </c>
      <c r="F35" s="625"/>
      <c r="G35" s="643"/>
      <c r="J35" s="628"/>
      <c r="K35" s="627"/>
    </row>
    <row r="36" spans="1:11" s="644" customFormat="1" ht="24.95" customHeight="1">
      <c r="A36" s="639"/>
      <c r="B36" s="640" t="s">
        <v>2855</v>
      </c>
      <c r="C36" s="641" t="s">
        <v>2856</v>
      </c>
      <c r="D36" s="642">
        <f>+'SP Att Alim'!F12</f>
        <v>0</v>
      </c>
      <c r="E36" s="642">
        <f>+'SP Att Alim'!G12</f>
        <v>0</v>
      </c>
      <c r="F36" s="625"/>
      <c r="G36" s="643"/>
      <c r="J36" s="628"/>
      <c r="K36" s="627"/>
    </row>
    <row r="37" spans="1:11" s="644" customFormat="1" ht="24.95" customHeight="1">
      <c r="A37" s="639"/>
      <c r="B37" s="640" t="s">
        <v>2857</v>
      </c>
      <c r="C37" s="641" t="s">
        <v>2858</v>
      </c>
      <c r="D37" s="642">
        <f>-'SP Att Alim'!F14</f>
        <v>0</v>
      </c>
      <c r="E37" s="642">
        <f>-'SP Att Alim'!G14</f>
        <v>0</v>
      </c>
      <c r="F37" s="625"/>
      <c r="G37" s="643"/>
      <c r="J37" s="628"/>
      <c r="K37" s="627"/>
    </row>
    <row r="38" spans="1:11" s="644" customFormat="1" ht="24.95" customHeight="1">
      <c r="A38" s="645"/>
      <c r="B38" s="635" t="s">
        <v>2859</v>
      </c>
      <c r="C38" s="636" t="s">
        <v>2860</v>
      </c>
      <c r="D38" s="637">
        <f>+D39-D40+D41-D42</f>
        <v>0</v>
      </c>
      <c r="E38" s="637">
        <f>+E39-E40+E41-E42</f>
        <v>0</v>
      </c>
      <c r="F38" s="625"/>
      <c r="G38" s="643"/>
      <c r="J38" s="628"/>
      <c r="K38" s="627"/>
    </row>
    <row r="39" spans="1:11" s="644" customFormat="1" ht="34.5" customHeight="1">
      <c r="A39" s="639"/>
      <c r="B39" s="640" t="s">
        <v>2861</v>
      </c>
      <c r="C39" s="641" t="s">
        <v>2862</v>
      </c>
      <c r="D39" s="642">
        <f>+'SP Att Alim'!F17</f>
        <v>0</v>
      </c>
      <c r="E39" s="642">
        <f>+'SP Att Alim'!G17</f>
        <v>0</v>
      </c>
      <c r="F39" s="625"/>
      <c r="G39" s="643"/>
      <c r="J39" s="628"/>
      <c r="K39" s="627"/>
    </row>
    <row r="40" spans="1:11" s="644" customFormat="1" ht="34.5" customHeight="1">
      <c r="A40" s="639"/>
      <c r="B40" s="640" t="s">
        <v>2863</v>
      </c>
      <c r="C40" s="641" t="s">
        <v>2864</v>
      </c>
      <c r="D40" s="642">
        <f>-'SP Att Alim'!F19</f>
        <v>0</v>
      </c>
      <c r="E40" s="642">
        <f>-'SP Att Alim'!G19</f>
        <v>0</v>
      </c>
      <c r="F40" s="625"/>
      <c r="G40" s="643"/>
      <c r="J40" s="628"/>
      <c r="K40" s="627"/>
    </row>
    <row r="41" spans="1:11" s="644" customFormat="1" ht="34.5" customHeight="1">
      <c r="A41" s="639"/>
      <c r="B41" s="640" t="s">
        <v>2865</v>
      </c>
      <c r="C41" s="641" t="s">
        <v>2866</v>
      </c>
      <c r="D41" s="642">
        <f>+'SP Att Alim'!F21</f>
        <v>0</v>
      </c>
      <c r="E41" s="642">
        <f>+'SP Att Alim'!G21</f>
        <v>0</v>
      </c>
      <c r="F41" s="625"/>
      <c r="G41" s="643"/>
      <c r="J41" s="628"/>
      <c r="K41" s="627"/>
    </row>
    <row r="42" spans="1:11" s="644" customFormat="1" ht="34.5" customHeight="1">
      <c r="A42" s="639"/>
      <c r="B42" s="640" t="s">
        <v>2867</v>
      </c>
      <c r="C42" s="641" t="s">
        <v>2868</v>
      </c>
      <c r="D42" s="642">
        <f>-'SP Att Alim'!F23</f>
        <v>0</v>
      </c>
      <c r="E42" s="642">
        <f>-'SP Att Alim'!G23</f>
        <v>0</v>
      </c>
      <c r="F42" s="625"/>
      <c r="G42" s="643"/>
      <c r="J42" s="628"/>
      <c r="K42" s="627"/>
    </row>
    <row r="43" spans="1:11" s="644" customFormat="1" ht="24.95" customHeight="1">
      <c r="A43" s="639"/>
      <c r="B43" s="646" t="s">
        <v>2869</v>
      </c>
      <c r="C43" s="647" t="s">
        <v>2870</v>
      </c>
      <c r="D43" s="642">
        <f>+'SP Att Alim'!F25</f>
        <v>0</v>
      </c>
      <c r="E43" s="642">
        <f>+'SP Att Alim'!G25</f>
        <v>0</v>
      </c>
      <c r="F43" s="625"/>
      <c r="G43" s="643"/>
      <c r="J43" s="628"/>
      <c r="K43" s="627"/>
    </row>
    <row r="44" spans="1:11" s="644" customFormat="1" ht="24.95" customHeight="1">
      <c r="A44" s="645"/>
      <c r="B44" s="635" t="s">
        <v>2871</v>
      </c>
      <c r="C44" s="636" t="s">
        <v>2872</v>
      </c>
      <c r="D44" s="637">
        <f>+D45-D46+D47-D48+D49-D50+D51-D52</f>
        <v>2339.8999999999942</v>
      </c>
      <c r="E44" s="637">
        <f>+E45-E46+E47-E48+E49-E50+E51-E52</f>
        <v>6068.1800000000076</v>
      </c>
      <c r="F44" s="625"/>
      <c r="G44" s="643"/>
      <c r="J44" s="628"/>
      <c r="K44" s="627"/>
    </row>
    <row r="45" spans="1:11" s="644" customFormat="1" ht="24.95" customHeight="1">
      <c r="A45" s="639"/>
      <c r="B45" s="640" t="s">
        <v>2873</v>
      </c>
      <c r="C45" s="641" t="s">
        <v>2874</v>
      </c>
      <c r="D45" s="642">
        <f>+'SP Att Alim'!F28</f>
        <v>0</v>
      </c>
      <c r="E45" s="642">
        <f>+'SP Att Alim'!G28</f>
        <v>0</v>
      </c>
      <c r="F45" s="625"/>
      <c r="G45" s="643"/>
      <c r="J45" s="628"/>
      <c r="K45" s="627"/>
    </row>
    <row r="46" spans="1:11" s="644" customFormat="1" ht="24.95" customHeight="1">
      <c r="A46" s="639"/>
      <c r="B46" s="640" t="s">
        <v>2875</v>
      </c>
      <c r="C46" s="641" t="s">
        <v>2876</v>
      </c>
      <c r="D46" s="642">
        <f>-'SP Att Alim'!F30</f>
        <v>0</v>
      </c>
      <c r="E46" s="642">
        <f>-'SP Att Alim'!G30</f>
        <v>0</v>
      </c>
      <c r="F46" s="625"/>
      <c r="G46" s="643"/>
      <c r="J46" s="628"/>
      <c r="K46" s="627"/>
    </row>
    <row r="47" spans="1:11" s="644" customFormat="1" ht="24.95" customHeight="1">
      <c r="A47" s="639"/>
      <c r="B47" s="640" t="s">
        <v>2877</v>
      </c>
      <c r="C47" s="641" t="s">
        <v>2878</v>
      </c>
      <c r="D47" s="642">
        <f>+'SP Att Alim'!F32</f>
        <v>0</v>
      </c>
      <c r="E47" s="642">
        <f>+'SP Att Alim'!G32</f>
        <v>0</v>
      </c>
      <c r="F47" s="625"/>
      <c r="G47" s="643"/>
      <c r="J47" s="628"/>
      <c r="K47" s="627"/>
    </row>
    <row r="48" spans="1:11" s="644" customFormat="1" ht="24.95" customHeight="1">
      <c r="A48" s="639"/>
      <c r="B48" s="640" t="s">
        <v>2879</v>
      </c>
      <c r="C48" s="641" t="s">
        <v>2880</v>
      </c>
      <c r="D48" s="642">
        <f>-'SP Att Alim'!F34</f>
        <v>0</v>
      </c>
      <c r="E48" s="642">
        <f>-'SP Att Alim'!G34</f>
        <v>0</v>
      </c>
      <c r="F48" s="625"/>
      <c r="G48" s="643"/>
      <c r="J48" s="628"/>
      <c r="K48" s="627"/>
    </row>
    <row r="49" spans="1:11" s="644" customFormat="1" ht="24.95" customHeight="1">
      <c r="A49" s="639"/>
      <c r="B49" s="640" t="s">
        <v>2881</v>
      </c>
      <c r="C49" s="641" t="s">
        <v>2882</v>
      </c>
      <c r="D49" s="642">
        <f>+'SP Att Alim'!F36</f>
        <v>0</v>
      </c>
      <c r="E49" s="642">
        <f>+'SP Att Alim'!G36</f>
        <v>0</v>
      </c>
      <c r="F49" s="625"/>
      <c r="G49" s="643"/>
      <c r="J49" s="628"/>
      <c r="K49" s="627"/>
    </row>
    <row r="50" spans="1:11" s="644" customFormat="1" ht="24.95" customHeight="1">
      <c r="A50" s="639"/>
      <c r="B50" s="640" t="s">
        <v>2883</v>
      </c>
      <c r="C50" s="641" t="s">
        <v>2884</v>
      </c>
      <c r="D50" s="642">
        <f>-'SP Att Alim'!F38</f>
        <v>0</v>
      </c>
      <c r="E50" s="642">
        <f>-'SP Att Alim'!G38</f>
        <v>0</v>
      </c>
      <c r="F50" s="625"/>
      <c r="G50" s="643"/>
      <c r="J50" s="628"/>
      <c r="K50" s="627"/>
    </row>
    <row r="51" spans="1:11" s="644" customFormat="1" ht="24.95" customHeight="1">
      <c r="A51" s="639"/>
      <c r="B51" s="640" t="s">
        <v>2885</v>
      </c>
      <c r="C51" s="641" t="s">
        <v>2886</v>
      </c>
      <c r="D51" s="642">
        <f>+'SP Att Alim'!F40</f>
        <v>120526.9</v>
      </c>
      <c r="E51" s="642">
        <f>+'SP Att Alim'!G40</f>
        <v>122766.82</v>
      </c>
      <c r="F51" s="625"/>
      <c r="G51" s="643"/>
      <c r="J51" s="628"/>
      <c r="K51" s="627"/>
    </row>
    <row r="52" spans="1:11" s="644" customFormat="1" ht="24.95" customHeight="1">
      <c r="A52" s="639"/>
      <c r="B52" s="640" t="s">
        <v>2887</v>
      </c>
      <c r="C52" s="641" t="s">
        <v>2888</v>
      </c>
      <c r="D52" s="642">
        <f>-'SP Att Alim'!F42</f>
        <v>118187</v>
      </c>
      <c r="E52" s="642">
        <f>-'SP Att Alim'!G42</f>
        <v>116698.64</v>
      </c>
      <c r="F52" s="625"/>
      <c r="G52" s="643"/>
      <c r="J52" s="628"/>
      <c r="K52" s="627"/>
    </row>
    <row r="53" spans="1:11" s="644" customFormat="1" ht="24.95" customHeight="1">
      <c r="A53" s="645"/>
      <c r="B53" s="635" t="s">
        <v>2889</v>
      </c>
      <c r="C53" s="636" t="s">
        <v>2890</v>
      </c>
      <c r="D53" s="637">
        <f>SUM(D54:D57)</f>
        <v>0</v>
      </c>
      <c r="E53" s="637">
        <f>SUM(E54:E57)</f>
        <v>0</v>
      </c>
      <c r="F53" s="625"/>
      <c r="G53" s="643"/>
      <c r="J53" s="628"/>
      <c r="K53" s="627"/>
    </row>
    <row r="54" spans="1:11" s="644" customFormat="1" ht="24.95" customHeight="1">
      <c r="A54" s="648"/>
      <c r="B54" s="640" t="s">
        <v>2891</v>
      </c>
      <c r="C54" s="641" t="s">
        <v>2892</v>
      </c>
      <c r="D54" s="642">
        <f>-'SP Att Alim'!F45</f>
        <v>0</v>
      </c>
      <c r="E54" s="642">
        <f>-'SP Att Alim'!G45</f>
        <v>0</v>
      </c>
      <c r="F54" s="625"/>
      <c r="G54" s="643"/>
      <c r="J54" s="628"/>
      <c r="K54" s="627"/>
    </row>
    <row r="55" spans="1:11" s="644" customFormat="1" ht="24.95" customHeight="1">
      <c r="A55" s="639"/>
      <c r="B55" s="640" t="s">
        <v>2893</v>
      </c>
      <c r="C55" s="641" t="s">
        <v>2894</v>
      </c>
      <c r="D55" s="642">
        <f>-'SP Att Alim'!F47</f>
        <v>0</v>
      </c>
      <c r="E55" s="642">
        <f>-'SP Att Alim'!G47</f>
        <v>0</v>
      </c>
      <c r="F55" s="625"/>
      <c r="G55" s="643"/>
      <c r="J55" s="628"/>
      <c r="K55" s="627"/>
    </row>
    <row r="56" spans="1:11" s="644" customFormat="1" ht="24.95" customHeight="1">
      <c r="A56" s="639"/>
      <c r="B56" s="640" t="s">
        <v>2895</v>
      </c>
      <c r="C56" s="641" t="s">
        <v>2896</v>
      </c>
      <c r="D56" s="642">
        <f>-'SP Att Alim'!F49</f>
        <v>0</v>
      </c>
      <c r="E56" s="642">
        <f>-'SP Att Alim'!G49</f>
        <v>0</v>
      </c>
      <c r="F56" s="625"/>
      <c r="G56" s="643"/>
      <c r="J56" s="628"/>
      <c r="K56" s="627"/>
    </row>
    <row r="57" spans="1:11" s="644" customFormat="1" ht="24.95" customHeight="1" thickBot="1">
      <c r="A57" s="649"/>
      <c r="B57" s="650" t="s">
        <v>2897</v>
      </c>
      <c r="C57" s="651" t="s">
        <v>2898</v>
      </c>
      <c r="D57" s="642">
        <f>-'SP Att Alim'!F51</f>
        <v>0</v>
      </c>
      <c r="E57" s="642">
        <f>-'SP Att Alim'!G51</f>
        <v>0</v>
      </c>
      <c r="F57" s="625"/>
      <c r="G57" s="643"/>
      <c r="J57" s="628"/>
      <c r="K57" s="627"/>
    </row>
    <row r="58" spans="1:11" s="644" customFormat="1" ht="24.95" customHeight="1">
      <c r="A58" s="652"/>
      <c r="B58" s="653" t="s">
        <v>2899</v>
      </c>
      <c r="C58" s="654" t="s">
        <v>2900</v>
      </c>
      <c r="D58" s="655">
        <f>+D59+D62+D69+D72+D75+D78+D81+D82+D85-D86</f>
        <v>441007.55999999994</v>
      </c>
      <c r="E58" s="655">
        <f>+E59+E62+E69+E72+E75+E78+E81+E82+E85-E86</f>
        <v>415631.45999999996</v>
      </c>
      <c r="F58" s="633"/>
      <c r="G58" s="626"/>
      <c r="J58" s="628"/>
      <c r="K58" s="627"/>
    </row>
    <row r="59" spans="1:11" s="644" customFormat="1" ht="24.95" customHeight="1">
      <c r="A59" s="645"/>
      <c r="B59" s="635" t="s">
        <v>2901</v>
      </c>
      <c r="C59" s="636" t="s">
        <v>2902</v>
      </c>
      <c r="D59" s="637">
        <f>+D60+D61</f>
        <v>0</v>
      </c>
      <c r="E59" s="637">
        <f>+E60+E61</f>
        <v>0</v>
      </c>
      <c r="F59" s="625"/>
      <c r="G59" s="626"/>
      <c r="J59" s="628"/>
      <c r="K59" s="627"/>
    </row>
    <row r="60" spans="1:11" s="644" customFormat="1" ht="24.95" customHeight="1">
      <c r="A60" s="639"/>
      <c r="B60" s="640" t="s">
        <v>2903</v>
      </c>
      <c r="C60" s="641" t="s">
        <v>2904</v>
      </c>
      <c r="D60" s="642">
        <f>+'SP Att Alim'!F55</f>
        <v>0</v>
      </c>
      <c r="E60" s="642">
        <f>+'SP Att Alim'!G55</f>
        <v>0</v>
      </c>
      <c r="F60" s="625"/>
      <c r="G60" s="643"/>
      <c r="J60" s="628"/>
      <c r="K60" s="627"/>
    </row>
    <row r="61" spans="1:11" s="644" customFormat="1" ht="24.95" customHeight="1">
      <c r="A61" s="639"/>
      <c r="B61" s="640" t="s">
        <v>2905</v>
      </c>
      <c r="C61" s="641" t="s">
        <v>2906</v>
      </c>
      <c r="D61" s="642">
        <f>+'SP Att Alim'!F57</f>
        <v>0</v>
      </c>
      <c r="E61" s="642">
        <f>+'SP Att Alim'!G57</f>
        <v>0</v>
      </c>
      <c r="F61" s="625"/>
      <c r="G61" s="643"/>
      <c r="J61" s="628"/>
      <c r="K61" s="627"/>
    </row>
    <row r="62" spans="1:11" s="644" customFormat="1" ht="24.95" customHeight="1">
      <c r="A62" s="645"/>
      <c r="B62" s="635" t="s">
        <v>2907</v>
      </c>
      <c r="C62" s="636" t="s">
        <v>2908</v>
      </c>
      <c r="D62" s="637">
        <f>+D63+D66</f>
        <v>0</v>
      </c>
      <c r="E62" s="637">
        <f>+E63+E66</f>
        <v>0</v>
      </c>
      <c r="F62" s="625"/>
      <c r="G62" s="643"/>
      <c r="J62" s="628"/>
      <c r="K62" s="627"/>
    </row>
    <row r="63" spans="1:11" s="644" customFormat="1" ht="24.95" customHeight="1">
      <c r="A63" s="639"/>
      <c r="B63" s="640" t="s">
        <v>2909</v>
      </c>
      <c r="C63" s="641" t="s">
        <v>2910</v>
      </c>
      <c r="D63" s="642">
        <f>+D64-D65</f>
        <v>0</v>
      </c>
      <c r="E63" s="642">
        <f>+E64-E65</f>
        <v>0</v>
      </c>
      <c r="F63" s="764" t="s">
        <v>1835</v>
      </c>
      <c r="G63" s="643"/>
      <c r="J63" s="628"/>
      <c r="K63" s="627"/>
    </row>
    <row r="64" spans="1:11" s="644" customFormat="1" ht="24.95" customHeight="1">
      <c r="A64" s="639"/>
      <c r="B64" s="640" t="s">
        <v>2911</v>
      </c>
      <c r="C64" s="641" t="s">
        <v>2912</v>
      </c>
      <c r="D64" s="642">
        <f>+'SP Att Alim'!F61</f>
        <v>0</v>
      </c>
      <c r="E64" s="642">
        <f>+'SP Att Alim'!G61</f>
        <v>0</v>
      </c>
      <c r="F64" s="625"/>
      <c r="G64" s="643"/>
      <c r="J64" s="628"/>
      <c r="K64" s="627"/>
    </row>
    <row r="65" spans="1:11" s="644" customFormat="1" ht="24.95" customHeight="1">
      <c r="A65" s="639"/>
      <c r="B65" s="640" t="s">
        <v>2913</v>
      </c>
      <c r="C65" s="641" t="s">
        <v>2914</v>
      </c>
      <c r="D65" s="642">
        <f>-'SP Att Alim'!F63</f>
        <v>0</v>
      </c>
      <c r="E65" s="642">
        <f>-'SP Att Alim'!G63</f>
        <v>0</v>
      </c>
      <c r="F65" s="625"/>
      <c r="G65" s="643"/>
      <c r="J65" s="628"/>
      <c r="K65" s="627"/>
    </row>
    <row r="66" spans="1:11" s="644" customFormat="1" ht="24.95" customHeight="1">
      <c r="A66" s="639"/>
      <c r="B66" s="640" t="s">
        <v>2915</v>
      </c>
      <c r="C66" s="641" t="s">
        <v>2916</v>
      </c>
      <c r="D66" s="642">
        <f>+D67-D68</f>
        <v>0</v>
      </c>
      <c r="E66" s="642">
        <f>+E67-E68</f>
        <v>0</v>
      </c>
      <c r="F66" s="764" t="s">
        <v>1835</v>
      </c>
      <c r="G66" s="643"/>
      <c r="J66" s="628"/>
      <c r="K66" s="627"/>
    </row>
    <row r="67" spans="1:11" s="644" customFormat="1" ht="24.95" customHeight="1">
      <c r="A67" s="639"/>
      <c r="B67" s="640" t="s">
        <v>2917</v>
      </c>
      <c r="C67" s="641" t="s">
        <v>2918</v>
      </c>
      <c r="D67" s="642">
        <f>+'SP Att Alim'!F66</f>
        <v>0</v>
      </c>
      <c r="E67" s="642">
        <f>+'SP Att Alim'!G66</f>
        <v>0</v>
      </c>
      <c r="F67" s="625"/>
      <c r="G67" s="643"/>
      <c r="J67" s="628"/>
      <c r="K67" s="627"/>
    </row>
    <row r="68" spans="1:11" s="644" customFormat="1" ht="24.95" customHeight="1">
      <c r="A68" s="639"/>
      <c r="B68" s="640" t="s">
        <v>2919</v>
      </c>
      <c r="C68" s="641" t="s">
        <v>2920</v>
      </c>
      <c r="D68" s="642">
        <f>-'SP Att Alim'!F68</f>
        <v>0</v>
      </c>
      <c r="E68" s="642">
        <f>-'SP Att Alim'!G68</f>
        <v>0</v>
      </c>
      <c r="F68" s="625"/>
      <c r="G68" s="643"/>
      <c r="J68" s="628"/>
      <c r="K68" s="627"/>
    </row>
    <row r="69" spans="1:11" s="644" customFormat="1" ht="24.95" customHeight="1">
      <c r="A69" s="645"/>
      <c r="B69" s="635" t="s">
        <v>2921</v>
      </c>
      <c r="C69" s="636" t="s">
        <v>2922</v>
      </c>
      <c r="D69" s="637">
        <f>+D70-D71</f>
        <v>80062.079999999987</v>
      </c>
      <c r="E69" s="637">
        <f>+E70-E71</f>
        <v>102937.08000000002</v>
      </c>
      <c r="F69" s="625"/>
      <c r="G69" s="643"/>
      <c r="J69" s="628"/>
      <c r="K69" s="627"/>
    </row>
    <row r="70" spans="1:11" s="644" customFormat="1" ht="24.95" customHeight="1">
      <c r="A70" s="639"/>
      <c r="B70" s="640" t="s">
        <v>2923</v>
      </c>
      <c r="C70" s="641" t="s">
        <v>2924</v>
      </c>
      <c r="D70" s="642">
        <f>+'SP Att Alim'!F71</f>
        <v>235098.55</v>
      </c>
      <c r="E70" s="642">
        <f>+'SP Att Alim'!G71</f>
        <v>246273.95</v>
      </c>
      <c r="F70" s="625"/>
      <c r="G70" s="643"/>
      <c r="J70" s="628"/>
      <c r="K70" s="627"/>
    </row>
    <row r="71" spans="1:11" s="644" customFormat="1" ht="24.95" customHeight="1">
      <c r="A71" s="639"/>
      <c r="B71" s="640" t="s">
        <v>2925</v>
      </c>
      <c r="C71" s="641" t="s">
        <v>2926</v>
      </c>
      <c r="D71" s="642">
        <f>-'SP Att Alim'!F73</f>
        <v>155036.47</v>
      </c>
      <c r="E71" s="642">
        <f>-'SP Att Alim'!G73</f>
        <v>143336.87</v>
      </c>
      <c r="F71" s="625"/>
      <c r="G71" s="643"/>
      <c r="J71" s="628"/>
      <c r="K71" s="627"/>
    </row>
    <row r="72" spans="1:11" s="644" customFormat="1" ht="24.95" customHeight="1">
      <c r="A72" s="645"/>
      <c r="B72" s="635" t="s">
        <v>2927</v>
      </c>
      <c r="C72" s="636" t="s">
        <v>2928</v>
      </c>
      <c r="D72" s="637">
        <f>+D73-D74</f>
        <v>20788.640000000014</v>
      </c>
      <c r="E72" s="637">
        <f>+E73-E74</f>
        <v>44457.350000000006</v>
      </c>
      <c r="F72" s="625"/>
      <c r="G72" s="643"/>
      <c r="J72" s="628"/>
      <c r="K72" s="627"/>
    </row>
    <row r="73" spans="1:11" s="644" customFormat="1" ht="24.95" customHeight="1">
      <c r="A73" s="639"/>
      <c r="B73" s="640" t="s">
        <v>2929</v>
      </c>
      <c r="C73" s="641" t="s">
        <v>2930</v>
      </c>
      <c r="D73" s="642">
        <f>+'SP Att Alim'!F76</f>
        <v>198389.26</v>
      </c>
      <c r="E73" s="642">
        <f>+'SP Att Alim'!G76</f>
        <v>198389.26</v>
      </c>
      <c r="F73" s="625"/>
      <c r="G73" s="643"/>
      <c r="J73" s="628"/>
      <c r="K73" s="627"/>
    </row>
    <row r="74" spans="1:11" s="644" customFormat="1" ht="24.95" customHeight="1">
      <c r="A74" s="639"/>
      <c r="B74" s="640" t="s">
        <v>2931</v>
      </c>
      <c r="C74" s="641" t="s">
        <v>2932</v>
      </c>
      <c r="D74" s="642">
        <f>-'SP Att Alim'!F78</f>
        <v>177600.62</v>
      </c>
      <c r="E74" s="642">
        <f>-'SP Att Alim'!G78</f>
        <v>153931.91</v>
      </c>
      <c r="F74" s="625"/>
      <c r="G74" s="643"/>
      <c r="J74" s="628"/>
      <c r="K74" s="627"/>
    </row>
    <row r="75" spans="1:11" s="644" customFormat="1" ht="24.95" customHeight="1">
      <c r="A75" s="645"/>
      <c r="B75" s="635" t="s">
        <v>2933</v>
      </c>
      <c r="C75" s="636" t="s">
        <v>2934</v>
      </c>
      <c r="D75" s="637">
        <f>+D76-D77</f>
        <v>83576.729999999981</v>
      </c>
      <c r="E75" s="637">
        <f>+E76-E77</f>
        <v>102947.35999999999</v>
      </c>
      <c r="F75" s="625"/>
      <c r="G75" s="643"/>
      <c r="J75" s="628"/>
      <c r="K75" s="627"/>
    </row>
    <row r="76" spans="1:11" s="644" customFormat="1" ht="24.95" customHeight="1">
      <c r="A76" s="639"/>
      <c r="B76" s="640" t="s">
        <v>2935</v>
      </c>
      <c r="C76" s="641" t="s">
        <v>2936</v>
      </c>
      <c r="D76" s="642">
        <f>+'SP Att Alim'!F81</f>
        <v>437131.16</v>
      </c>
      <c r="E76" s="642">
        <f>+'SP Att Alim'!G81</f>
        <v>427161.32</v>
      </c>
      <c r="F76" s="625"/>
      <c r="G76" s="643"/>
      <c r="J76" s="628"/>
      <c r="K76" s="627"/>
    </row>
    <row r="77" spans="1:11" s="644" customFormat="1" ht="24.95" customHeight="1">
      <c r="A77" s="639"/>
      <c r="B77" s="640" t="s">
        <v>2937</v>
      </c>
      <c r="C77" s="641" t="s">
        <v>2938</v>
      </c>
      <c r="D77" s="642">
        <f>-'SP Att Alim'!F83</f>
        <v>353554.43</v>
      </c>
      <c r="E77" s="642">
        <f>-'SP Att Alim'!G83</f>
        <v>324213.96000000002</v>
      </c>
      <c r="F77" s="625"/>
      <c r="G77" s="643"/>
      <c r="J77" s="628"/>
      <c r="K77" s="627"/>
    </row>
    <row r="78" spans="1:11" s="644" customFormat="1" ht="24.95" customHeight="1">
      <c r="A78" s="645"/>
      <c r="B78" s="635" t="s">
        <v>2939</v>
      </c>
      <c r="C78" s="636" t="s">
        <v>2940</v>
      </c>
      <c r="D78" s="637">
        <f>+D79-D80</f>
        <v>9.9999999947613105E-3</v>
      </c>
      <c r="E78" s="637">
        <f>+E79-E80</f>
        <v>1006.8300000000017</v>
      </c>
      <c r="F78" s="625"/>
      <c r="G78" s="643"/>
      <c r="J78" s="628"/>
      <c r="K78" s="627"/>
    </row>
    <row r="79" spans="1:11" s="644" customFormat="1" ht="24.95" customHeight="1">
      <c r="A79" s="639"/>
      <c r="B79" s="640" t="s">
        <v>2941</v>
      </c>
      <c r="C79" s="641" t="s">
        <v>2942</v>
      </c>
      <c r="D79" s="642">
        <f>+'SP Att Alim'!F86</f>
        <v>96404.45</v>
      </c>
      <c r="E79" s="642">
        <f>+'SP Att Alim'!G86</f>
        <v>96404.45</v>
      </c>
      <c r="F79" s="625"/>
      <c r="G79" s="643"/>
      <c r="J79" s="628"/>
      <c r="K79" s="627"/>
    </row>
    <row r="80" spans="1:11" s="644" customFormat="1" ht="24.95" customHeight="1">
      <c r="A80" s="639"/>
      <c r="B80" s="640" t="s">
        <v>2943</v>
      </c>
      <c r="C80" s="641" t="s">
        <v>2944</v>
      </c>
      <c r="D80" s="642">
        <f>-'SP Att Alim'!F88</f>
        <v>96404.44</v>
      </c>
      <c r="E80" s="642">
        <f>-'SP Att Alim'!G88</f>
        <v>95397.62</v>
      </c>
      <c r="F80" s="625"/>
      <c r="G80" s="643"/>
      <c r="J80" s="628"/>
      <c r="K80" s="627"/>
    </row>
    <row r="81" spans="1:11" s="644" customFormat="1" ht="24.95" customHeight="1">
      <c r="A81" s="639"/>
      <c r="B81" s="646" t="s">
        <v>2945</v>
      </c>
      <c r="C81" s="647" t="s">
        <v>2946</v>
      </c>
      <c r="D81" s="642">
        <f>+'SP Att Alim'!F90</f>
        <v>0</v>
      </c>
      <c r="E81" s="642">
        <f>+'SP Att Alim'!G90</f>
        <v>0</v>
      </c>
      <c r="F81" s="625"/>
      <c r="G81" s="643"/>
      <c r="J81" s="628"/>
      <c r="K81" s="627"/>
    </row>
    <row r="82" spans="1:11" s="644" customFormat="1" ht="24.95" customHeight="1">
      <c r="A82" s="645"/>
      <c r="B82" s="635" t="s">
        <v>2947</v>
      </c>
      <c r="C82" s="636" t="s">
        <v>2948</v>
      </c>
      <c r="D82" s="637">
        <f>+D83-D84</f>
        <v>256580.09999999998</v>
      </c>
      <c r="E82" s="637">
        <f>+E83-E84</f>
        <v>164282.83999999997</v>
      </c>
      <c r="F82" s="625"/>
      <c r="G82" s="643"/>
      <c r="J82" s="628">
        <f>+D82-[2]Tab.5!$Q$23</f>
        <v>-1.6700000001001172</v>
      </c>
      <c r="K82" s="627"/>
    </row>
    <row r="83" spans="1:11" s="644" customFormat="1" ht="24.95" customHeight="1">
      <c r="A83" s="639"/>
      <c r="B83" s="640" t="s">
        <v>2949</v>
      </c>
      <c r="C83" s="641" t="s">
        <v>2950</v>
      </c>
      <c r="D83" s="642">
        <f>+'SP Att Alim'!F93</f>
        <v>872700.89</v>
      </c>
      <c r="E83" s="642">
        <f>+'SP Att Alim'!G93</f>
        <v>835019.21</v>
      </c>
      <c r="F83" s="625"/>
      <c r="G83" s="643"/>
      <c r="J83" s="628"/>
      <c r="K83" s="627"/>
    </row>
    <row r="84" spans="1:11" s="644" customFormat="1" ht="24.95" customHeight="1">
      <c r="A84" s="639"/>
      <c r="B84" s="640" t="s">
        <v>2951</v>
      </c>
      <c r="C84" s="641" t="s">
        <v>2952</v>
      </c>
      <c r="D84" s="642">
        <f>-'SP Att Alim'!F95</f>
        <v>616120.79</v>
      </c>
      <c r="E84" s="642">
        <f>-'SP Att Alim'!G95</f>
        <v>670736.37</v>
      </c>
      <c r="F84" s="625"/>
      <c r="G84" s="643"/>
      <c r="J84" s="628"/>
      <c r="K84" s="627"/>
    </row>
    <row r="85" spans="1:11" s="644" customFormat="1" ht="24.95" customHeight="1">
      <c r="A85" s="639"/>
      <c r="B85" s="646" t="s">
        <v>2953</v>
      </c>
      <c r="C85" s="647" t="s">
        <v>2954</v>
      </c>
      <c r="D85" s="642">
        <f>'SP Att Alim'!F97</f>
        <v>0</v>
      </c>
      <c r="E85" s="642">
        <f>'SP Att Alim'!G97</f>
        <v>0</v>
      </c>
      <c r="F85" s="625"/>
      <c r="G85" s="643"/>
      <c r="J85" s="628"/>
      <c r="K85" s="627"/>
    </row>
    <row r="86" spans="1:11" s="644" customFormat="1" ht="24.95" customHeight="1">
      <c r="A86" s="645"/>
      <c r="B86" s="635" t="s">
        <v>2955</v>
      </c>
      <c r="C86" s="636" t="s">
        <v>2956</v>
      </c>
      <c r="D86" s="637">
        <f>SUM(D87:D94)</f>
        <v>0</v>
      </c>
      <c r="E86" s="637">
        <f>SUM(E87:E94)</f>
        <v>0</v>
      </c>
      <c r="F86" s="625"/>
      <c r="G86" s="643"/>
      <c r="J86" s="628"/>
      <c r="K86" s="627"/>
    </row>
    <row r="87" spans="1:11" s="644" customFormat="1" ht="24.95" customHeight="1">
      <c r="A87" s="639"/>
      <c r="B87" s="640" t="s">
        <v>2957</v>
      </c>
      <c r="C87" s="641" t="s">
        <v>2958</v>
      </c>
      <c r="D87" s="642">
        <f>-'SP Att Alim'!F100-'SP Att Alim'!F101</f>
        <v>0</v>
      </c>
      <c r="E87" s="642">
        <f>-'SP Att Alim'!G100-'SP Att Alim'!G101</f>
        <v>0</v>
      </c>
      <c r="F87" s="625"/>
      <c r="G87" s="643"/>
      <c r="J87" s="628"/>
      <c r="K87" s="627"/>
    </row>
    <row r="88" spans="1:11" s="644" customFormat="1" ht="24.95" customHeight="1">
      <c r="A88" s="639"/>
      <c r="B88" s="640" t="s">
        <v>2959</v>
      </c>
      <c r="C88" s="641" t="s">
        <v>2960</v>
      </c>
      <c r="D88" s="642">
        <f>-'SP Att Alim'!F103-'SP Att Alim'!F104</f>
        <v>0</v>
      </c>
      <c r="E88" s="642">
        <f>-'SP Att Alim'!G103-'SP Att Alim'!G104</f>
        <v>0</v>
      </c>
      <c r="F88" s="625"/>
      <c r="G88" s="643"/>
      <c r="J88" s="628"/>
      <c r="K88" s="627"/>
    </row>
    <row r="89" spans="1:11" s="644" customFormat="1" ht="24.95" customHeight="1">
      <c r="A89" s="639"/>
      <c r="B89" s="640" t="s">
        <v>2961</v>
      </c>
      <c r="C89" s="641" t="s">
        <v>2962</v>
      </c>
      <c r="D89" s="642">
        <f>-'SP Att Alim'!F106</f>
        <v>0</v>
      </c>
      <c r="E89" s="642">
        <f>-'SP Att Alim'!G106</f>
        <v>0</v>
      </c>
      <c r="F89" s="625"/>
      <c r="G89" s="643"/>
      <c r="J89" s="628"/>
      <c r="K89" s="627"/>
    </row>
    <row r="90" spans="1:11" s="644" customFormat="1" ht="24.95" customHeight="1">
      <c r="A90" s="639"/>
      <c r="B90" s="640" t="s">
        <v>2963</v>
      </c>
      <c r="C90" s="641" t="s">
        <v>2964</v>
      </c>
      <c r="D90" s="642">
        <f>-'SP Att Alim'!F108</f>
        <v>0</v>
      </c>
      <c r="E90" s="642">
        <f>-'SP Att Alim'!G108</f>
        <v>0</v>
      </c>
      <c r="F90" s="625"/>
      <c r="G90" s="643"/>
      <c r="J90" s="628"/>
      <c r="K90" s="627"/>
    </row>
    <row r="91" spans="1:11" s="644" customFormat="1" ht="24.95" customHeight="1">
      <c r="A91" s="639"/>
      <c r="B91" s="640" t="s">
        <v>2965</v>
      </c>
      <c r="C91" s="641" t="s">
        <v>2966</v>
      </c>
      <c r="D91" s="642">
        <f>-'SP Att Alim'!F110</f>
        <v>0</v>
      </c>
      <c r="E91" s="642">
        <f>-'SP Att Alim'!G110</f>
        <v>0</v>
      </c>
      <c r="F91" s="625"/>
      <c r="G91" s="643"/>
      <c r="J91" s="628"/>
      <c r="K91" s="627"/>
    </row>
    <row r="92" spans="1:11" s="644" customFormat="1" ht="24.95" customHeight="1">
      <c r="A92" s="639"/>
      <c r="B92" s="640" t="s">
        <v>2967</v>
      </c>
      <c r="C92" s="641" t="s">
        <v>2968</v>
      </c>
      <c r="D92" s="642">
        <f>-'SP Att Alim'!F112</f>
        <v>0</v>
      </c>
      <c r="E92" s="642">
        <f>-'SP Att Alim'!G112</f>
        <v>0</v>
      </c>
      <c r="F92" s="625"/>
      <c r="G92" s="643"/>
      <c r="J92" s="628"/>
      <c r="K92" s="627"/>
    </row>
    <row r="93" spans="1:11" s="644" customFormat="1" ht="24.95" customHeight="1">
      <c r="A93" s="639"/>
      <c r="B93" s="640" t="s">
        <v>2969</v>
      </c>
      <c r="C93" s="641" t="s">
        <v>2970</v>
      </c>
      <c r="D93" s="642">
        <f>-'SP Att Alim'!F114</f>
        <v>0</v>
      </c>
      <c r="E93" s="642">
        <f>-'SP Att Alim'!G114</f>
        <v>0</v>
      </c>
      <c r="F93" s="625"/>
      <c r="G93" s="643"/>
      <c r="J93" s="628"/>
      <c r="K93" s="627"/>
    </row>
    <row r="94" spans="1:11" s="644" customFormat="1" ht="24.95" customHeight="1" thickBot="1">
      <c r="A94" s="649"/>
      <c r="B94" s="650" t="s">
        <v>2971</v>
      </c>
      <c r="C94" s="651" t="s">
        <v>2972</v>
      </c>
      <c r="D94" s="642">
        <f>-'SP Att Alim'!F116</f>
        <v>0</v>
      </c>
      <c r="E94" s="642">
        <f>-'SP Att Alim'!G116</f>
        <v>0</v>
      </c>
      <c r="F94" s="625"/>
      <c r="G94" s="643"/>
      <c r="J94" s="628"/>
      <c r="K94" s="627"/>
    </row>
    <row r="95" spans="1:11" s="644" customFormat="1" ht="24.95" customHeight="1">
      <c r="A95" s="652"/>
      <c r="B95" s="653" t="s">
        <v>2973</v>
      </c>
      <c r="C95" s="654" t="s">
        <v>2974</v>
      </c>
      <c r="D95" s="655">
        <f>+D96+D101</f>
        <v>0</v>
      </c>
      <c r="E95" s="655">
        <f>+E96+E101</f>
        <v>0</v>
      </c>
      <c r="F95" s="625"/>
      <c r="G95" s="643"/>
      <c r="J95" s="628"/>
      <c r="K95" s="627"/>
    </row>
    <row r="96" spans="1:11" s="644" customFormat="1" ht="24.95" customHeight="1">
      <c r="A96" s="645"/>
      <c r="B96" s="635" t="s">
        <v>2975</v>
      </c>
      <c r="C96" s="636" t="s">
        <v>2976</v>
      </c>
      <c r="D96" s="637">
        <f>SUM(D97:D100)</f>
        <v>0</v>
      </c>
      <c r="E96" s="637">
        <f>SUM(E97:E100)</f>
        <v>0</v>
      </c>
      <c r="F96" s="625"/>
      <c r="G96" s="643"/>
      <c r="J96" s="628"/>
      <c r="K96" s="627"/>
    </row>
    <row r="97" spans="1:11" s="644" customFormat="1" ht="24.95" customHeight="1">
      <c r="A97" s="639"/>
      <c r="B97" s="640" t="s">
        <v>2977</v>
      </c>
      <c r="C97" s="641" t="s">
        <v>2978</v>
      </c>
      <c r="D97" s="642">
        <f>+'SP Att Alim'!F120+'SP Att Alim'!F121</f>
        <v>0</v>
      </c>
      <c r="E97" s="642">
        <f>+'SP Att Alim'!G120+'SP Att Alim'!G121</f>
        <v>0</v>
      </c>
      <c r="F97" s="625"/>
      <c r="G97" s="643"/>
      <c r="J97" s="628"/>
      <c r="K97" s="627"/>
    </row>
    <row r="98" spans="1:11" s="644" customFormat="1" ht="24.95" customHeight="1">
      <c r="A98" s="639"/>
      <c r="B98" s="640" t="s">
        <v>2979</v>
      </c>
      <c r="C98" s="641" t="s">
        <v>2980</v>
      </c>
      <c r="D98" s="642">
        <f>+'SP Att Alim'!F123+'SP Att Alim'!F124</f>
        <v>0</v>
      </c>
      <c r="E98" s="642">
        <f>+'SP Att Alim'!G123+'SP Att Alim'!G124</f>
        <v>0</v>
      </c>
      <c r="F98" s="625"/>
      <c r="G98" s="643"/>
      <c r="J98" s="628"/>
      <c r="K98" s="627"/>
    </row>
    <row r="99" spans="1:11" s="644" customFormat="1" ht="24.95" customHeight="1">
      <c r="A99" s="639"/>
      <c r="B99" s="640" t="s">
        <v>2981</v>
      </c>
      <c r="C99" s="641" t="s">
        <v>2982</v>
      </c>
      <c r="D99" s="642">
        <f>+'SP Att Alim'!F126+'SP Att Alim'!F127</f>
        <v>0</v>
      </c>
      <c r="E99" s="642">
        <f>+'SP Att Alim'!G126+'SP Att Alim'!G127</f>
        <v>0</v>
      </c>
      <c r="F99" s="625"/>
      <c r="G99" s="643"/>
      <c r="J99" s="628"/>
      <c r="K99" s="627"/>
    </row>
    <row r="100" spans="1:11" s="644" customFormat="1" ht="24.95" customHeight="1">
      <c r="A100" s="639"/>
      <c r="B100" s="640" t="s">
        <v>2983</v>
      </c>
      <c r="C100" s="641" t="s">
        <v>2984</v>
      </c>
      <c r="D100" s="642">
        <f>+'SP Att Alim'!F129+'SP Att Alim'!F130+'SP Att Alim'!F131+'SP Att Alim'!F132</f>
        <v>0</v>
      </c>
      <c r="E100" s="642">
        <f>+'SP Att Alim'!G129+'SP Att Alim'!G130+'SP Att Alim'!G131+'SP Att Alim'!G132</f>
        <v>0</v>
      </c>
      <c r="F100" s="625"/>
      <c r="G100" s="643"/>
      <c r="J100" s="628"/>
      <c r="K100" s="627"/>
    </row>
    <row r="101" spans="1:11" s="644" customFormat="1" ht="24.95" customHeight="1">
      <c r="A101" s="645"/>
      <c r="B101" s="635" t="s">
        <v>2985</v>
      </c>
      <c r="C101" s="636" t="s">
        <v>2986</v>
      </c>
      <c r="D101" s="637">
        <f>+D102+D103</f>
        <v>0</v>
      </c>
      <c r="E101" s="637">
        <f>+E102+E103</f>
        <v>0</v>
      </c>
      <c r="F101" s="625"/>
      <c r="G101" s="643"/>
      <c r="J101" s="628"/>
      <c r="K101" s="627"/>
    </row>
    <row r="102" spans="1:11" s="644" customFormat="1" ht="24.95" customHeight="1">
      <c r="A102" s="639"/>
      <c r="B102" s="640" t="s">
        <v>2987</v>
      </c>
      <c r="C102" s="641" t="s">
        <v>2988</v>
      </c>
      <c r="D102" s="642">
        <f>+'SP Att Alim'!F135</f>
        <v>0</v>
      </c>
      <c r="E102" s="642">
        <f>+'SP Att Alim'!G135</f>
        <v>0</v>
      </c>
      <c r="F102" s="625"/>
      <c r="G102" s="643"/>
      <c r="J102" s="628"/>
      <c r="K102" s="627"/>
    </row>
    <row r="103" spans="1:11" s="644" customFormat="1" ht="24.95" customHeight="1">
      <c r="A103" s="639"/>
      <c r="B103" s="640" t="s">
        <v>2989</v>
      </c>
      <c r="C103" s="641" t="s">
        <v>2990</v>
      </c>
      <c r="D103" s="642">
        <f>SUM(D104:D107)</f>
        <v>0</v>
      </c>
      <c r="E103" s="642">
        <f>SUM(E104:E107)</f>
        <v>0</v>
      </c>
      <c r="F103" s="764" t="s">
        <v>1835</v>
      </c>
      <c r="G103" s="643"/>
      <c r="J103" s="628"/>
      <c r="K103" s="627"/>
    </row>
    <row r="104" spans="1:11" s="644" customFormat="1" ht="24.95" customHeight="1">
      <c r="A104" s="639"/>
      <c r="B104" s="640" t="s">
        <v>2991</v>
      </c>
      <c r="C104" s="641" t="s">
        <v>2992</v>
      </c>
      <c r="D104" s="642">
        <f>+'SP Att Alim'!F138</f>
        <v>0</v>
      </c>
      <c r="E104" s="642">
        <f>+'SP Att Alim'!G138</f>
        <v>0</v>
      </c>
      <c r="F104" s="625"/>
      <c r="G104" s="643"/>
      <c r="J104" s="628"/>
      <c r="K104" s="627"/>
    </row>
    <row r="105" spans="1:11" s="644" customFormat="1" ht="24.95" customHeight="1">
      <c r="A105" s="639"/>
      <c r="B105" s="640" t="s">
        <v>2993</v>
      </c>
      <c r="C105" s="641" t="s">
        <v>2994</v>
      </c>
      <c r="D105" s="642">
        <f>+'SP Att Alim'!F140</f>
        <v>0</v>
      </c>
      <c r="E105" s="642">
        <f>+'SP Att Alim'!G140</f>
        <v>0</v>
      </c>
      <c r="F105" s="625"/>
      <c r="G105" s="643"/>
      <c r="J105" s="628"/>
      <c r="K105" s="627"/>
    </row>
    <row r="106" spans="1:11" s="644" customFormat="1" ht="24.95" customHeight="1">
      <c r="A106" s="639"/>
      <c r="B106" s="640" t="s">
        <v>2995</v>
      </c>
      <c r="C106" s="641" t="s">
        <v>2996</v>
      </c>
      <c r="D106" s="642">
        <f>+'SP Att Alim'!F142</f>
        <v>0</v>
      </c>
      <c r="E106" s="642">
        <f>+'SP Att Alim'!G142</f>
        <v>0</v>
      </c>
      <c r="F106" s="625"/>
      <c r="G106" s="643"/>
      <c r="J106" s="628"/>
      <c r="K106" s="627"/>
    </row>
    <row r="107" spans="1:11" s="644" customFormat="1" ht="24.95" customHeight="1" thickBot="1">
      <c r="A107" s="649"/>
      <c r="B107" s="650" t="s">
        <v>2997</v>
      </c>
      <c r="C107" s="651" t="s">
        <v>2998</v>
      </c>
      <c r="D107" s="642">
        <f>+'SP Att Alim'!F144</f>
        <v>0</v>
      </c>
      <c r="E107" s="642">
        <f>+'SP Att Alim'!G144</f>
        <v>0</v>
      </c>
      <c r="F107" s="625"/>
      <c r="G107" s="643"/>
      <c r="J107" s="628"/>
      <c r="K107" s="627"/>
    </row>
    <row r="108" spans="1:11" s="644" customFormat="1" ht="24.95" customHeight="1">
      <c r="A108" s="621"/>
      <c r="B108" s="622" t="s">
        <v>2999</v>
      </c>
      <c r="C108" s="623" t="s">
        <v>3000</v>
      </c>
      <c r="D108" s="656">
        <f>+D109+D128+D192+D195</f>
        <v>242614552.03999996</v>
      </c>
      <c r="E108" s="656">
        <f>+E109+E128+E192+E195</f>
        <v>247439146.5</v>
      </c>
      <c r="F108" s="625"/>
      <c r="G108" s="643"/>
      <c r="J108" s="628"/>
      <c r="K108" s="627"/>
    </row>
    <row r="109" spans="1:11" s="644" customFormat="1" ht="24.95" customHeight="1">
      <c r="A109" s="629"/>
      <c r="B109" s="630" t="s">
        <v>3001</v>
      </c>
      <c r="C109" s="631" t="s">
        <v>3002</v>
      </c>
      <c r="D109" s="632">
        <f>+D110+D120</f>
        <v>65979147.600000001</v>
      </c>
      <c r="E109" s="632">
        <f>+E110+E120</f>
        <v>65966511.089999996</v>
      </c>
      <c r="F109" s="625"/>
      <c r="G109" s="643"/>
      <c r="J109" s="628"/>
      <c r="K109" s="627"/>
    </row>
    <row r="110" spans="1:11" s="644" customFormat="1" ht="24.95" customHeight="1">
      <c r="A110" s="645"/>
      <c r="B110" s="635" t="s">
        <v>3003</v>
      </c>
      <c r="C110" s="636" t="s">
        <v>3004</v>
      </c>
      <c r="D110" s="637">
        <f>SUM(D111:D119)</f>
        <v>64781029.670000002</v>
      </c>
      <c r="E110" s="637">
        <f>SUM(E111:E119)</f>
        <v>64595308.219999999</v>
      </c>
      <c r="F110" s="625"/>
      <c r="G110" s="643"/>
      <c r="J110" s="628"/>
      <c r="K110" s="627"/>
    </row>
    <row r="111" spans="1:11" s="644" customFormat="1" ht="24.95" customHeight="1">
      <c r="A111" s="639"/>
      <c r="B111" s="640" t="s">
        <v>3005</v>
      </c>
      <c r="C111" s="641" t="s">
        <v>3006</v>
      </c>
      <c r="D111" s="642">
        <f>+'SP Att Alim'!F149+'SP Att Alim'!F150+'SP Att Alim'!F151</f>
        <v>49046614.75</v>
      </c>
      <c r="E111" s="642">
        <f>+'SP Att Alim'!G149+'SP Att Alim'!G150+'SP Att Alim'!G151</f>
        <v>48945930.100000001</v>
      </c>
      <c r="F111" s="625"/>
      <c r="G111" s="643"/>
      <c r="J111" s="628"/>
      <c r="K111" s="627"/>
    </row>
    <row r="112" spans="1:11" s="644" customFormat="1" ht="24.95" customHeight="1">
      <c r="A112" s="639"/>
      <c r="B112" s="640" t="s">
        <v>3007</v>
      </c>
      <c r="C112" s="641" t="s">
        <v>3008</v>
      </c>
      <c r="D112" s="642">
        <f>+'SP Att Alim'!F153</f>
        <v>0</v>
      </c>
      <c r="E112" s="642">
        <f>+'SP Att Alim'!G153</f>
        <v>0</v>
      </c>
      <c r="F112" s="625"/>
      <c r="G112" s="643"/>
      <c r="J112" s="628"/>
      <c r="K112" s="627"/>
    </row>
    <row r="113" spans="1:11" s="644" customFormat="1" ht="24.95" customHeight="1">
      <c r="A113" s="639"/>
      <c r="B113" s="640" t="s">
        <v>3009</v>
      </c>
      <c r="C113" s="641" t="s">
        <v>3010</v>
      </c>
      <c r="D113" s="642">
        <f>+'SP Att Alim'!F155+'SP Att Alim'!F156+'SP Att Alim'!F157</f>
        <v>12442696.460000001</v>
      </c>
      <c r="E113" s="642">
        <f>+'SP Att Alim'!G155+'SP Att Alim'!G156+'SP Att Alim'!G157</f>
        <v>13571303.1</v>
      </c>
      <c r="F113" s="625"/>
      <c r="G113" s="643"/>
      <c r="J113" s="628"/>
      <c r="K113" s="627"/>
    </row>
    <row r="114" spans="1:11" s="644" customFormat="1" ht="24.95" customHeight="1">
      <c r="A114" s="639"/>
      <c r="B114" s="640" t="s">
        <v>3011</v>
      </c>
      <c r="C114" s="641" t="s">
        <v>3012</v>
      </c>
      <c r="D114" s="642">
        <f>+'SP Att Alim'!F159</f>
        <v>482515.58</v>
      </c>
      <c r="E114" s="642">
        <f>+'SP Att Alim'!G159</f>
        <v>457565.91</v>
      </c>
      <c r="F114" s="625"/>
      <c r="G114" s="643"/>
      <c r="J114" s="628"/>
      <c r="K114" s="627"/>
    </row>
    <row r="115" spans="1:11" s="644" customFormat="1" ht="24.95" customHeight="1">
      <c r="A115" s="639"/>
      <c r="B115" s="640" t="s">
        <v>3013</v>
      </c>
      <c r="C115" s="641" t="s">
        <v>3014</v>
      </c>
      <c r="D115" s="642">
        <f>+'SP Att Alim'!F161</f>
        <v>2595352.33</v>
      </c>
      <c r="E115" s="642">
        <f>+'SP Att Alim'!G161</f>
        <v>1411280.69</v>
      </c>
      <c r="F115" s="625"/>
      <c r="G115" s="643"/>
      <c r="J115" s="628"/>
      <c r="K115" s="627"/>
    </row>
    <row r="116" spans="1:11" s="644" customFormat="1" ht="24.95" customHeight="1">
      <c r="A116" s="639"/>
      <c r="B116" s="640" t="s">
        <v>3015</v>
      </c>
      <c r="C116" s="641" t="s">
        <v>3016</v>
      </c>
      <c r="D116" s="642">
        <f>+'SP Att Alim'!F163</f>
        <v>5133.5600000000004</v>
      </c>
      <c r="E116" s="642">
        <f>+'SP Att Alim'!G163</f>
        <v>10347.68</v>
      </c>
      <c r="F116" s="625"/>
      <c r="G116" s="643"/>
      <c r="J116" s="628"/>
      <c r="K116" s="627"/>
    </row>
    <row r="117" spans="1:11" s="644" customFormat="1" ht="24.95" customHeight="1">
      <c r="A117" s="639"/>
      <c r="B117" s="640" t="s">
        <v>3017</v>
      </c>
      <c r="C117" s="641" t="s">
        <v>3018</v>
      </c>
      <c r="D117" s="642">
        <f>+'SP Att Alim'!F165</f>
        <v>31895.25</v>
      </c>
      <c r="E117" s="642">
        <f>+'SP Att Alim'!G165</f>
        <v>35986.22</v>
      </c>
      <c r="F117" s="625"/>
      <c r="G117" s="643"/>
      <c r="J117" s="628"/>
      <c r="K117" s="627"/>
    </row>
    <row r="118" spans="1:11" s="644" customFormat="1" ht="24.95" customHeight="1">
      <c r="A118" s="639"/>
      <c r="B118" s="640" t="s">
        <v>3019</v>
      </c>
      <c r="C118" s="641" t="s">
        <v>3020</v>
      </c>
      <c r="D118" s="642">
        <f>+'SP Att Alim'!F167</f>
        <v>176821.74</v>
      </c>
      <c r="E118" s="642">
        <f>+'SP Att Alim'!G167</f>
        <v>162894.51999999999</v>
      </c>
      <c r="F118" s="625"/>
      <c r="G118" s="643"/>
      <c r="J118" s="628"/>
      <c r="K118" s="627"/>
    </row>
    <row r="119" spans="1:11" s="644" customFormat="1" ht="24.95" customHeight="1">
      <c r="A119" s="639"/>
      <c r="B119" s="640" t="s">
        <v>3021</v>
      </c>
      <c r="C119" s="641" t="s">
        <v>3022</v>
      </c>
      <c r="D119" s="642">
        <f>+'SP Att Alim'!F169</f>
        <v>0</v>
      </c>
      <c r="E119" s="642">
        <f>+'SP Att Alim'!G169</f>
        <v>0</v>
      </c>
      <c r="F119" s="625"/>
      <c r="G119" s="643"/>
      <c r="J119" s="628"/>
      <c r="K119" s="627"/>
    </row>
    <row r="120" spans="1:11" s="644" customFormat="1" ht="24.95" customHeight="1">
      <c r="A120" s="645"/>
      <c r="B120" s="635" t="s">
        <v>3023</v>
      </c>
      <c r="C120" s="636" t="s">
        <v>3024</v>
      </c>
      <c r="D120" s="637">
        <f>SUM(D121:D127)</f>
        <v>1198117.9300000002</v>
      </c>
      <c r="E120" s="637">
        <f>SUM(E121:E127)</f>
        <v>1371202.87</v>
      </c>
      <c r="F120" s="625"/>
      <c r="G120" s="643"/>
      <c r="J120" s="628"/>
      <c r="K120" s="627"/>
    </row>
    <row r="121" spans="1:11" s="644" customFormat="1" ht="24.95" customHeight="1">
      <c r="A121" s="639"/>
      <c r="B121" s="640" t="s">
        <v>3025</v>
      </c>
      <c r="C121" s="641" t="s">
        <v>3026</v>
      </c>
      <c r="D121" s="642">
        <f>+'SP Att Alim'!F172</f>
        <v>6890.17</v>
      </c>
      <c r="E121" s="642">
        <f>+'SP Att Alim'!G172</f>
        <v>8699.36</v>
      </c>
      <c r="F121" s="625"/>
      <c r="G121" s="643"/>
      <c r="J121" s="628"/>
      <c r="K121" s="627"/>
    </row>
    <row r="122" spans="1:11" s="644" customFormat="1" ht="24.95" customHeight="1">
      <c r="A122" s="639"/>
      <c r="B122" s="640" t="s">
        <v>3027</v>
      </c>
      <c r="C122" s="641" t="s">
        <v>3028</v>
      </c>
      <c r="D122" s="642">
        <f>+'SP Att Alim'!F174</f>
        <v>991791.42</v>
      </c>
      <c r="E122" s="642">
        <f>+'SP Att Alim'!G174</f>
        <v>1153868.5</v>
      </c>
      <c r="F122" s="625"/>
      <c r="G122" s="643"/>
      <c r="J122" s="628"/>
      <c r="K122" s="627"/>
    </row>
    <row r="123" spans="1:11" s="644" customFormat="1" ht="24.95" customHeight="1">
      <c r="A123" s="639"/>
      <c r="B123" s="640" t="s">
        <v>3029</v>
      </c>
      <c r="C123" s="641" t="s">
        <v>3030</v>
      </c>
      <c r="D123" s="642">
        <f>+'SP Att Alim'!F176</f>
        <v>0</v>
      </c>
      <c r="E123" s="642">
        <f>+'SP Att Alim'!G176</f>
        <v>0</v>
      </c>
      <c r="F123" s="625"/>
      <c r="G123" s="643"/>
      <c r="J123" s="628"/>
      <c r="K123" s="627"/>
    </row>
    <row r="124" spans="1:11" s="644" customFormat="1" ht="24.95" customHeight="1">
      <c r="A124" s="639"/>
      <c r="B124" s="640" t="s">
        <v>3031</v>
      </c>
      <c r="C124" s="641" t="s">
        <v>3032</v>
      </c>
      <c r="D124" s="642">
        <f>+'SP Att Alim'!F178</f>
        <v>190906.28</v>
      </c>
      <c r="E124" s="642">
        <f>+'SP Att Alim'!G178</f>
        <v>185827.26</v>
      </c>
      <c r="F124" s="625"/>
      <c r="G124" s="643"/>
      <c r="J124" s="628"/>
      <c r="K124" s="627"/>
    </row>
    <row r="125" spans="1:11" s="644" customFormat="1" ht="24.95" customHeight="1">
      <c r="A125" s="639"/>
      <c r="B125" s="640" t="s">
        <v>3033</v>
      </c>
      <c r="C125" s="641" t="s">
        <v>3034</v>
      </c>
      <c r="D125" s="642">
        <f>+'SP Att Alim'!F180</f>
        <v>1413.72</v>
      </c>
      <c r="E125" s="642">
        <f>+'SP Att Alim'!G180</f>
        <v>16591.13</v>
      </c>
      <c r="F125" s="625"/>
      <c r="G125" s="643"/>
      <c r="J125" s="628"/>
      <c r="K125" s="627"/>
    </row>
    <row r="126" spans="1:11" s="644" customFormat="1" ht="24.95" customHeight="1">
      <c r="A126" s="639"/>
      <c r="B126" s="640" t="s">
        <v>3035</v>
      </c>
      <c r="C126" s="641" t="s">
        <v>3036</v>
      </c>
      <c r="D126" s="642">
        <f>+'SP Att Alim'!F182</f>
        <v>7116.34</v>
      </c>
      <c r="E126" s="642">
        <f>+'SP Att Alim'!G182</f>
        <v>6216.62</v>
      </c>
      <c r="F126" s="625"/>
      <c r="G126" s="643"/>
      <c r="J126" s="628"/>
      <c r="K126" s="627"/>
    </row>
    <row r="127" spans="1:11" s="644" customFormat="1" ht="24.95" customHeight="1" thickBot="1">
      <c r="A127" s="649"/>
      <c r="B127" s="650" t="s">
        <v>3037</v>
      </c>
      <c r="C127" s="651" t="s">
        <v>3038</v>
      </c>
      <c r="D127" s="642">
        <f>+'SP Att Alim'!F184</f>
        <v>0</v>
      </c>
      <c r="E127" s="642">
        <f>+'SP Att Alim'!G184</f>
        <v>0</v>
      </c>
      <c r="F127" s="625"/>
      <c r="G127" s="643"/>
      <c r="J127" s="628"/>
      <c r="K127" s="627"/>
    </row>
    <row r="128" spans="1:11" s="644" customFormat="1" ht="24.95" customHeight="1">
      <c r="A128" s="652"/>
      <c r="B128" s="653" t="s">
        <v>3039</v>
      </c>
      <c r="C128" s="654" t="s">
        <v>3040</v>
      </c>
      <c r="D128" s="655">
        <f>+D129+D145+D166+D167+D176++D180+D181</f>
        <v>137636074.88999999</v>
      </c>
      <c r="E128" s="655">
        <f>+E129+E145+E166+E167+E176++E180+E181</f>
        <v>148663909.16</v>
      </c>
      <c r="F128" s="625"/>
      <c r="G128" s="643"/>
      <c r="J128" s="628"/>
      <c r="K128" s="627"/>
    </row>
    <row r="129" spans="1:11" s="644" customFormat="1" ht="24.95" customHeight="1">
      <c r="A129" s="645"/>
      <c r="B129" s="635" t="s">
        <v>3041</v>
      </c>
      <c r="C129" s="636" t="s">
        <v>3042</v>
      </c>
      <c r="D129" s="637">
        <f>SUM(D130:D139,D144)</f>
        <v>0</v>
      </c>
      <c r="E129" s="637">
        <f>SUM(E130:E139,E144)</f>
        <v>0</v>
      </c>
      <c r="F129" s="625"/>
      <c r="G129" s="643"/>
      <c r="J129" s="628"/>
      <c r="K129" s="627"/>
    </row>
    <row r="130" spans="1:11" s="224" customFormat="1" ht="24.95" customHeight="1">
      <c r="A130" s="657" t="s">
        <v>1297</v>
      </c>
      <c r="B130" s="658" t="s">
        <v>3043</v>
      </c>
      <c r="C130" s="659" t="s">
        <v>3044</v>
      </c>
      <c r="D130" s="642">
        <f>+'SP Att Alim'!F188+'SP Att Alim'!F189</f>
        <v>0</v>
      </c>
      <c r="E130" s="642">
        <f>+'SP Att Alim'!G188+'SP Att Alim'!G189</f>
        <v>0</v>
      </c>
      <c r="F130" s="633"/>
      <c r="G130" s="660"/>
      <c r="J130" s="628"/>
      <c r="K130" s="627"/>
    </row>
    <row r="131" spans="1:11" s="224" customFormat="1" ht="24.95" customHeight="1">
      <c r="A131" s="657" t="s">
        <v>1297</v>
      </c>
      <c r="B131" s="658" t="s">
        <v>3045</v>
      </c>
      <c r="C131" s="659" t="s">
        <v>3046</v>
      </c>
      <c r="D131" s="642">
        <f>+'SP Att Alim'!F191+'SP Att Alim'!F192</f>
        <v>0</v>
      </c>
      <c r="E131" s="642">
        <f>+'SP Att Alim'!G191+'SP Att Alim'!G192</f>
        <v>0</v>
      </c>
      <c r="F131" s="661"/>
      <c r="G131" s="662"/>
      <c r="J131" s="628"/>
      <c r="K131" s="627"/>
    </row>
    <row r="132" spans="1:11" s="224" customFormat="1" ht="24.95" customHeight="1">
      <c r="A132" s="657" t="s">
        <v>1293</v>
      </c>
      <c r="B132" s="658" t="s">
        <v>3047</v>
      </c>
      <c r="C132" s="659" t="s">
        <v>3048</v>
      </c>
      <c r="D132" s="642">
        <f>+'SP Att Alim'!F194+'SP Att Alim'!F195</f>
        <v>0</v>
      </c>
      <c r="E132" s="642">
        <f>+'SP Att Alim'!G194+'SP Att Alim'!G195</f>
        <v>0</v>
      </c>
      <c r="F132" s="661"/>
      <c r="G132" s="662"/>
      <c r="J132" s="628"/>
      <c r="K132" s="627"/>
    </row>
    <row r="133" spans="1:11" s="224" customFormat="1" ht="24.95" customHeight="1">
      <c r="A133" s="663"/>
      <c r="B133" s="658" t="s">
        <v>3049</v>
      </c>
      <c r="C133" s="659" t="s">
        <v>3050</v>
      </c>
      <c r="D133" s="642">
        <f>+'SP Att Alim'!F197+'SP Att Alim'!F198</f>
        <v>0</v>
      </c>
      <c r="E133" s="642">
        <f>+'SP Att Alim'!G197+'SP Att Alim'!G198</f>
        <v>0</v>
      </c>
      <c r="F133" s="661"/>
      <c r="G133" s="662"/>
      <c r="J133" s="628"/>
      <c r="K133" s="627"/>
    </row>
    <row r="134" spans="1:11" s="224" customFormat="1" ht="30" customHeight="1">
      <c r="A134" s="657" t="s">
        <v>1297</v>
      </c>
      <c r="B134" s="658" t="s">
        <v>3051</v>
      </c>
      <c r="C134" s="659" t="s">
        <v>3052</v>
      </c>
      <c r="D134" s="642">
        <f>+'SP Att Alim'!F200+'SP Att Alim'!F201</f>
        <v>0</v>
      </c>
      <c r="E134" s="642">
        <f>+'SP Att Alim'!G200+'SP Att Alim'!G201</f>
        <v>0</v>
      </c>
      <c r="F134" s="661"/>
      <c r="G134" s="662"/>
      <c r="J134" s="628"/>
      <c r="K134" s="627"/>
    </row>
    <row r="135" spans="1:11" s="224" customFormat="1" ht="24.95" customHeight="1">
      <c r="A135" s="657" t="s">
        <v>1297</v>
      </c>
      <c r="B135" s="658" t="s">
        <v>3053</v>
      </c>
      <c r="C135" s="659" t="s">
        <v>3054</v>
      </c>
      <c r="D135" s="642">
        <f>+'SP Att Alim'!F203+'SP Att Alim'!F204</f>
        <v>0</v>
      </c>
      <c r="E135" s="642">
        <f>+'SP Att Alim'!G203+'SP Att Alim'!G204</f>
        <v>0</v>
      </c>
      <c r="F135" s="661"/>
      <c r="G135" s="662"/>
      <c r="J135" s="628"/>
      <c r="K135" s="627"/>
    </row>
    <row r="136" spans="1:11" s="224" customFormat="1" ht="24.95" customHeight="1">
      <c r="A136" s="657" t="s">
        <v>1297</v>
      </c>
      <c r="B136" s="658" t="s">
        <v>3055</v>
      </c>
      <c r="C136" s="659" t="s">
        <v>3056</v>
      </c>
      <c r="D136" s="642">
        <f>+'SP Att Alim'!F206+'SP Att Alim'!F207+'SP Att Alim'!F208+'SP Att Alim'!F209</f>
        <v>0</v>
      </c>
      <c r="E136" s="642">
        <f>+'SP Att Alim'!G206+'SP Att Alim'!G207+'SP Att Alim'!G208+'SP Att Alim'!G209</f>
        <v>0</v>
      </c>
      <c r="F136" s="661"/>
      <c r="G136" s="662"/>
      <c r="J136" s="628"/>
      <c r="K136" s="627"/>
    </row>
    <row r="137" spans="1:11" s="661" customFormat="1" ht="24.95" customHeight="1">
      <c r="A137" s="657" t="s">
        <v>1297</v>
      </c>
      <c r="B137" s="658" t="s">
        <v>3057</v>
      </c>
      <c r="C137" s="659" t="s">
        <v>3058</v>
      </c>
      <c r="D137" s="642">
        <f>+'SP Att Alim'!F211+'SP Att Alim'!F212</f>
        <v>0</v>
      </c>
      <c r="E137" s="642">
        <f>+'SP Att Alim'!G211+'SP Att Alim'!G212</f>
        <v>0</v>
      </c>
      <c r="G137" s="660"/>
      <c r="J137" s="628"/>
      <c r="K137" s="627"/>
    </row>
    <row r="138" spans="1:11" s="224" customFormat="1" ht="24.95" customHeight="1">
      <c r="A138" s="657" t="s">
        <v>1297</v>
      </c>
      <c r="B138" s="658" t="s">
        <v>3059</v>
      </c>
      <c r="C138" s="659" t="s">
        <v>3060</v>
      </c>
      <c r="D138" s="642">
        <f>+'SP Att Alim'!F214+'SP Att Alim'!F215</f>
        <v>0</v>
      </c>
      <c r="E138" s="642">
        <f>+'SP Att Alim'!G214+'SP Att Alim'!G215</f>
        <v>0</v>
      </c>
      <c r="F138" s="633"/>
      <c r="G138" s="660"/>
      <c r="J138" s="628"/>
      <c r="K138" s="627"/>
    </row>
    <row r="139" spans="1:11" s="224" customFormat="1" ht="24.95" customHeight="1">
      <c r="A139" s="664"/>
      <c r="B139" s="665" t="s">
        <v>3061</v>
      </c>
      <c r="C139" s="666" t="s">
        <v>3062</v>
      </c>
      <c r="D139" s="667">
        <f>+D140+D141+D142+D143</f>
        <v>0</v>
      </c>
      <c r="E139" s="667">
        <f>+E140+E141+E142+E143</f>
        <v>0</v>
      </c>
      <c r="F139" s="633"/>
      <c r="G139" s="660"/>
      <c r="J139" s="628"/>
      <c r="K139" s="627"/>
    </row>
    <row r="140" spans="1:11" s="224" customFormat="1" ht="24.95" customHeight="1">
      <c r="A140" s="657" t="s">
        <v>1297</v>
      </c>
      <c r="B140" s="658" t="s">
        <v>3063</v>
      </c>
      <c r="C140" s="659" t="s">
        <v>3064</v>
      </c>
      <c r="D140" s="642">
        <f>+'SP Att Alim'!F218+'SP Att Alim'!F219</f>
        <v>0</v>
      </c>
      <c r="E140" s="642">
        <f>+'SP Att Alim'!G218+'SP Att Alim'!G219</f>
        <v>0</v>
      </c>
      <c r="F140" s="633"/>
      <c r="G140" s="660"/>
      <c r="J140" s="628"/>
      <c r="K140" s="627"/>
    </row>
    <row r="141" spans="1:11" s="224" customFormat="1" ht="24.95" customHeight="1">
      <c r="A141" s="657" t="s">
        <v>1297</v>
      </c>
      <c r="B141" s="658" t="s">
        <v>3065</v>
      </c>
      <c r="C141" s="659" t="s">
        <v>3066</v>
      </c>
      <c r="D141" s="642">
        <f>+'SP Att Alim'!F221+'SP Att Alim'!F222</f>
        <v>0</v>
      </c>
      <c r="E141" s="642">
        <f>+'SP Att Alim'!G221+'SP Att Alim'!G222</f>
        <v>0</v>
      </c>
      <c r="F141" s="633"/>
      <c r="G141" s="660"/>
      <c r="J141" s="628"/>
      <c r="K141" s="627"/>
    </row>
    <row r="142" spans="1:11" s="224" customFormat="1" ht="24.95" customHeight="1">
      <c r="A142" s="657" t="s">
        <v>1297</v>
      </c>
      <c r="B142" s="658" t="s">
        <v>3067</v>
      </c>
      <c r="C142" s="659" t="s">
        <v>3068</v>
      </c>
      <c r="D142" s="642">
        <f>+'SP Att Alim'!F224+'SP Att Alim'!F225+'SP Att Alim'!F226+'SP Att Alim'!F227</f>
        <v>0</v>
      </c>
      <c r="E142" s="642">
        <f>+'SP Att Alim'!G224+'SP Att Alim'!G225+'SP Att Alim'!G226+'SP Att Alim'!G227</f>
        <v>0</v>
      </c>
      <c r="F142" s="633"/>
      <c r="G142" s="660"/>
      <c r="J142" s="628"/>
      <c r="K142" s="627"/>
    </row>
    <row r="143" spans="1:11" s="224" customFormat="1" ht="24.95" customHeight="1">
      <c r="A143" s="657" t="s">
        <v>1297</v>
      </c>
      <c r="B143" s="658" t="s">
        <v>3069</v>
      </c>
      <c r="C143" s="659" t="s">
        <v>3070</v>
      </c>
      <c r="D143" s="642">
        <f>+'SP Att Alim'!F229+'SP Att Alim'!F230</f>
        <v>0</v>
      </c>
      <c r="E143" s="642">
        <f>+'SP Att Alim'!G229+'SP Att Alim'!G230</f>
        <v>0</v>
      </c>
      <c r="F143" s="633"/>
      <c r="G143" s="660"/>
      <c r="J143" s="628"/>
      <c r="K143" s="627"/>
    </row>
    <row r="144" spans="1:11" s="224" customFormat="1" ht="24.95" customHeight="1">
      <c r="A144" s="657"/>
      <c r="B144" s="658" t="s">
        <v>3071</v>
      </c>
      <c r="C144" s="659" t="s">
        <v>3072</v>
      </c>
      <c r="D144" s="642">
        <f>+'SP Att Alim'!F232+'SP Att Alim'!F233+'SP Att Alim'!F234+'SP Att Alim'!F235</f>
        <v>0</v>
      </c>
      <c r="E144" s="642">
        <f>+'SP Att Alim'!G232+'SP Att Alim'!G233+'SP Att Alim'!G234+'SP Att Alim'!G235</f>
        <v>0</v>
      </c>
      <c r="F144" s="633"/>
      <c r="G144" s="660"/>
      <c r="J144" s="628"/>
      <c r="K144" s="627"/>
    </row>
    <row r="145" spans="1:11" s="224" customFormat="1" ht="24.95" customHeight="1">
      <c r="A145" s="645"/>
      <c r="B145" s="635" t="s">
        <v>3073</v>
      </c>
      <c r="C145" s="636" t="s">
        <v>3074</v>
      </c>
      <c r="D145" s="637">
        <f>+D146+D157+D164+D165</f>
        <v>40673075.659999996</v>
      </c>
      <c r="E145" s="637">
        <f>+E146+E157+E164+E165</f>
        <v>3952690.59</v>
      </c>
      <c r="F145" s="633"/>
      <c r="G145" s="660"/>
      <c r="J145" s="628"/>
      <c r="K145" s="627"/>
    </row>
    <row r="146" spans="1:11" s="224" customFormat="1" ht="24.95" customHeight="1">
      <c r="A146" s="664"/>
      <c r="B146" s="665" t="s">
        <v>3075</v>
      </c>
      <c r="C146" s="666" t="s">
        <v>3076</v>
      </c>
      <c r="D146" s="667">
        <f>SUM(D147:D156)</f>
        <v>27879205.989999998</v>
      </c>
      <c r="E146" s="667">
        <f>SUM(E147:E156)</f>
        <v>3229778.25</v>
      </c>
      <c r="F146" s="633"/>
      <c r="G146" s="660"/>
      <c r="J146" s="628"/>
      <c r="K146" s="627"/>
    </row>
    <row r="147" spans="1:11" s="224" customFormat="1" ht="33.75" customHeight="1">
      <c r="A147" s="657" t="s">
        <v>3077</v>
      </c>
      <c r="B147" s="658" t="s">
        <v>3078</v>
      </c>
      <c r="C147" s="659" t="s">
        <v>3079</v>
      </c>
      <c r="D147" s="642">
        <f>+'SP Att Alim'!F239+'SP Att Alim'!F240</f>
        <v>0</v>
      </c>
      <c r="E147" s="642">
        <f>+'SP Att Alim'!G239+'SP Att Alim'!G240</f>
        <v>0</v>
      </c>
      <c r="F147" s="633"/>
      <c r="G147" s="660"/>
      <c r="J147" s="628"/>
      <c r="K147" s="627"/>
    </row>
    <row r="148" spans="1:11" s="224" customFormat="1" ht="33.75" customHeight="1">
      <c r="A148" s="657" t="s">
        <v>1248</v>
      </c>
      <c r="B148" s="658" t="s">
        <v>3080</v>
      </c>
      <c r="C148" s="659" t="s">
        <v>3081</v>
      </c>
      <c r="D148" s="642">
        <f>+'SP Att Alim'!F242+'SP Att Alim'!F243</f>
        <v>0</v>
      </c>
      <c r="E148" s="642">
        <f>+'SP Att Alim'!G242+'SP Att Alim'!G243</f>
        <v>0</v>
      </c>
      <c r="F148" s="633"/>
      <c r="G148" s="660"/>
      <c r="J148" s="628"/>
      <c r="K148" s="627"/>
    </row>
    <row r="149" spans="1:11" s="661" customFormat="1" ht="33.75" customHeight="1">
      <c r="A149" s="657" t="s">
        <v>3077</v>
      </c>
      <c r="B149" s="658" t="s">
        <v>3082</v>
      </c>
      <c r="C149" s="668" t="s">
        <v>3083</v>
      </c>
      <c r="D149" s="642">
        <f>+'SP Att Alim'!F245+'SP Att Alim'!F246</f>
        <v>0</v>
      </c>
      <c r="E149" s="642">
        <f>+'SP Att Alim'!G245+'SP Att Alim'!G246</f>
        <v>0</v>
      </c>
      <c r="F149" s="224"/>
      <c r="G149" s="660"/>
      <c r="J149" s="628"/>
      <c r="K149" s="627"/>
    </row>
    <row r="150" spans="1:11" s="224" customFormat="1" ht="33.75" customHeight="1">
      <c r="A150" s="657" t="s">
        <v>3077</v>
      </c>
      <c r="B150" s="658" t="s">
        <v>3084</v>
      </c>
      <c r="C150" s="659" t="s">
        <v>3085</v>
      </c>
      <c r="D150" s="642">
        <f>+'SP Att Alim'!F248+'SP Att Alim'!F249</f>
        <v>0</v>
      </c>
      <c r="E150" s="642">
        <f>+'SP Att Alim'!G248+'SP Att Alim'!G249</f>
        <v>0</v>
      </c>
      <c r="F150" s="661"/>
      <c r="G150" s="662"/>
      <c r="J150" s="628"/>
      <c r="K150" s="627"/>
    </row>
    <row r="151" spans="1:11" s="224" customFormat="1" ht="33.75" customHeight="1">
      <c r="A151" s="657" t="s">
        <v>3077</v>
      </c>
      <c r="B151" s="658" t="s">
        <v>3086</v>
      </c>
      <c r="C151" s="659" t="s">
        <v>3087</v>
      </c>
      <c r="D151" s="642">
        <f>+'SP Att Alim'!F251+'SP Att Alim'!F252</f>
        <v>0</v>
      </c>
      <c r="E151" s="642">
        <f>+'SP Att Alim'!G251+'SP Att Alim'!G252</f>
        <v>0</v>
      </c>
      <c r="F151" s="661"/>
      <c r="G151" s="662"/>
      <c r="J151" s="628"/>
      <c r="K151" s="627"/>
    </row>
    <row r="152" spans="1:11" s="224" customFormat="1" ht="33.75" customHeight="1">
      <c r="A152" s="657" t="s">
        <v>3077</v>
      </c>
      <c r="B152" s="658" t="s">
        <v>3088</v>
      </c>
      <c r="C152" s="659" t="s">
        <v>3089</v>
      </c>
      <c r="D152" s="642">
        <f>+'SP Att Alim'!F254+'SP Att Alim'!F255</f>
        <v>0</v>
      </c>
      <c r="E152" s="642">
        <f>+'SP Att Alim'!G254+'SP Att Alim'!G255</f>
        <v>0</v>
      </c>
      <c r="F152" s="661"/>
      <c r="G152" s="662"/>
      <c r="J152" s="628"/>
      <c r="K152" s="627"/>
    </row>
    <row r="153" spans="1:11" s="224" customFormat="1" ht="33.75" customHeight="1">
      <c r="A153" s="657" t="s">
        <v>3077</v>
      </c>
      <c r="B153" s="658" t="s">
        <v>3090</v>
      </c>
      <c r="C153" s="659" t="s">
        <v>3091</v>
      </c>
      <c r="D153" s="642">
        <f>+'SP Att Alim'!F257+'SP Att Alim'!F258+'SP Att Alim'!F259+'SP Att Alim'!F260</f>
        <v>27196515.039999999</v>
      </c>
      <c r="E153" s="642">
        <f>+'SP Att Alim'!G257+'SP Att Alim'!G258+'SP Att Alim'!G259+'SP Att Alim'!G260</f>
        <v>2547087.2999999998</v>
      </c>
      <c r="F153" s="661"/>
      <c r="G153" s="662"/>
      <c r="J153" s="628"/>
      <c r="K153" s="627"/>
    </row>
    <row r="154" spans="1:11" s="661" customFormat="1" ht="33.75" customHeight="1">
      <c r="A154" s="669" t="s">
        <v>3077</v>
      </c>
      <c r="B154" s="658" t="s">
        <v>3092</v>
      </c>
      <c r="C154" s="668" t="s">
        <v>3093</v>
      </c>
      <c r="D154" s="642">
        <f>+'SP Att Alim'!F262+'SP Att Alim'!F263</f>
        <v>0</v>
      </c>
      <c r="E154" s="642">
        <f>+'SP Att Alim'!G262+'SP Att Alim'!G263</f>
        <v>0</v>
      </c>
      <c r="G154" s="660"/>
      <c r="J154" s="628"/>
      <c r="K154" s="627"/>
    </row>
    <row r="155" spans="1:11" s="224" customFormat="1" ht="33.75" customHeight="1">
      <c r="A155" s="669" t="s">
        <v>3077</v>
      </c>
      <c r="B155" s="658" t="s">
        <v>3094</v>
      </c>
      <c r="C155" s="668" t="s">
        <v>3095</v>
      </c>
      <c r="D155" s="642">
        <f>+'SP Att Alim'!F265+'SP Att Alim'!F266+'SP Att Alim'!F267+'SP Att Alim'!F268+'SP Att Alim'!F269</f>
        <v>682690.95</v>
      </c>
      <c r="E155" s="642">
        <f>+'SP Att Alim'!G265+'SP Att Alim'!G266+'SP Att Alim'!G267+'SP Att Alim'!G268+'SP Att Alim'!G269</f>
        <v>682690.95</v>
      </c>
      <c r="F155" s="661"/>
      <c r="G155" s="662"/>
      <c r="J155" s="628"/>
      <c r="K155" s="627"/>
    </row>
    <row r="156" spans="1:11" s="661" customFormat="1" ht="33.75" customHeight="1">
      <c r="A156" s="669" t="s">
        <v>3077</v>
      </c>
      <c r="B156" s="658" t="s">
        <v>3096</v>
      </c>
      <c r="C156" s="668" t="s">
        <v>3097</v>
      </c>
      <c r="D156" s="642">
        <f>+'SP Att Alim'!F271+'SP Att Alim'!F272</f>
        <v>0</v>
      </c>
      <c r="E156" s="642">
        <f>+'SP Att Alim'!G271+'SP Att Alim'!G272</f>
        <v>0</v>
      </c>
      <c r="G156" s="660"/>
      <c r="J156" s="628"/>
      <c r="K156" s="627"/>
    </row>
    <row r="157" spans="1:11" s="644" customFormat="1" ht="33.75" customHeight="1">
      <c r="A157" s="670"/>
      <c r="B157" s="665" t="s">
        <v>3098</v>
      </c>
      <c r="C157" s="671" t="s">
        <v>3099</v>
      </c>
      <c r="D157" s="667">
        <f>SUM(D158:D163)</f>
        <v>12793869.67</v>
      </c>
      <c r="E157" s="667">
        <f>SUM(E158:E163)</f>
        <v>722912.34</v>
      </c>
      <c r="F157" s="672"/>
      <c r="G157" s="673"/>
      <c r="J157" s="628"/>
      <c r="K157" s="627"/>
    </row>
    <row r="158" spans="1:11" s="644" customFormat="1" ht="33.75" customHeight="1">
      <c r="A158" s="674" t="s">
        <v>3077</v>
      </c>
      <c r="B158" s="640" t="s">
        <v>3100</v>
      </c>
      <c r="C158" s="675" t="s">
        <v>3101</v>
      </c>
      <c r="D158" s="642">
        <f>+'SP Att Alim'!F275+'SP Att Alim'!F276</f>
        <v>12793869.67</v>
      </c>
      <c r="E158" s="642">
        <f>+'SP Att Alim'!G275+'SP Att Alim'!G276</f>
        <v>722912.34</v>
      </c>
      <c r="F158" s="672"/>
      <c r="G158" s="673"/>
      <c r="J158" s="628"/>
      <c r="K158" s="627"/>
    </row>
    <row r="159" spans="1:11" s="644" customFormat="1" ht="33.75" customHeight="1">
      <c r="A159" s="674" t="s">
        <v>3077</v>
      </c>
      <c r="B159" s="640" t="s">
        <v>3102</v>
      </c>
      <c r="C159" s="641" t="s">
        <v>3103</v>
      </c>
      <c r="D159" s="642">
        <f>+'SP Att Alim'!F278+'SP Att Alim'!F279</f>
        <v>0</v>
      </c>
      <c r="E159" s="642">
        <f>+'SP Att Alim'!G278+'SP Att Alim'!G279</f>
        <v>0</v>
      </c>
      <c r="F159" s="672"/>
      <c r="G159" s="673"/>
      <c r="J159" s="628"/>
      <c r="K159" s="627"/>
    </row>
    <row r="160" spans="1:11" s="644" customFormat="1" ht="33.75" customHeight="1">
      <c r="A160" s="674" t="s">
        <v>3077</v>
      </c>
      <c r="B160" s="640" t="s">
        <v>3104</v>
      </c>
      <c r="C160" s="675" t="s">
        <v>3105</v>
      </c>
      <c r="D160" s="642">
        <f>+'SP Att Alim'!F281+'SP Att Alim'!F282</f>
        <v>0</v>
      </c>
      <c r="E160" s="642">
        <f>+'SP Att Alim'!G281+'SP Att Alim'!G282</f>
        <v>0</v>
      </c>
      <c r="F160" s="672"/>
      <c r="G160" s="673"/>
      <c r="J160" s="628"/>
      <c r="K160" s="627"/>
    </row>
    <row r="161" spans="1:11" s="644" customFormat="1" ht="33.75" customHeight="1">
      <c r="A161" s="669" t="s">
        <v>3077</v>
      </c>
      <c r="B161" s="658" t="s">
        <v>3106</v>
      </c>
      <c r="C161" s="668" t="s">
        <v>3107</v>
      </c>
      <c r="D161" s="642">
        <f>+'SP Att Alim'!F284</f>
        <v>0</v>
      </c>
      <c r="E161" s="642">
        <f>+'SP Att Alim'!G284</f>
        <v>0</v>
      </c>
      <c r="F161" s="672"/>
      <c r="G161" s="673"/>
      <c r="J161" s="628"/>
      <c r="K161" s="627"/>
    </row>
    <row r="162" spans="1:11" s="644" customFormat="1" ht="33.75" customHeight="1">
      <c r="A162" s="669" t="s">
        <v>3077</v>
      </c>
      <c r="B162" s="658" t="s">
        <v>3108</v>
      </c>
      <c r="C162" s="668" t="s">
        <v>3109</v>
      </c>
      <c r="D162" s="642">
        <f>+'SP Att Alim'!F286+'SP Att Alim'!F287</f>
        <v>0</v>
      </c>
      <c r="E162" s="642">
        <f>+'SP Att Alim'!G286+'SP Att Alim'!G287</f>
        <v>0</v>
      </c>
      <c r="F162" s="672"/>
      <c r="G162" s="673"/>
      <c r="J162" s="628"/>
      <c r="K162" s="627"/>
    </row>
    <row r="163" spans="1:11" s="644" customFormat="1" ht="33.75" customHeight="1">
      <c r="A163" s="669" t="s">
        <v>3077</v>
      </c>
      <c r="B163" s="658" t="s">
        <v>3110</v>
      </c>
      <c r="C163" s="668" t="s">
        <v>3111</v>
      </c>
      <c r="D163" s="642">
        <f>+'SP Att Alim'!F289+'SP Att Alim'!F290</f>
        <v>0</v>
      </c>
      <c r="E163" s="642">
        <f>+'SP Att Alim'!G289+'SP Att Alim'!G290</f>
        <v>0</v>
      </c>
      <c r="F163" s="672"/>
      <c r="G163" s="673"/>
      <c r="J163" s="628"/>
      <c r="K163" s="627"/>
    </row>
    <row r="164" spans="1:11" s="672" customFormat="1" ht="33.75" customHeight="1">
      <c r="A164" s="676"/>
      <c r="B164" s="640" t="s">
        <v>3112</v>
      </c>
      <c r="C164" s="675" t="s">
        <v>3113</v>
      </c>
      <c r="D164" s="642">
        <f>+'SP Att Alim'!F292</f>
        <v>0</v>
      </c>
      <c r="E164" s="642">
        <f>+'SP Att Alim'!G292</f>
        <v>0</v>
      </c>
      <c r="G164" s="643"/>
      <c r="J164" s="628"/>
      <c r="K164" s="627"/>
    </row>
    <row r="165" spans="1:11" s="672" customFormat="1" ht="33.75" customHeight="1">
      <c r="A165" s="676" t="s">
        <v>3077</v>
      </c>
      <c r="B165" s="640" t="s">
        <v>3114</v>
      </c>
      <c r="C165" s="675" t="s">
        <v>3115</v>
      </c>
      <c r="D165" s="642">
        <f>+'SP Att Alim'!F294</f>
        <v>0</v>
      </c>
      <c r="E165" s="642">
        <f>+'SP Att Alim'!G294</f>
        <v>0</v>
      </c>
      <c r="G165" s="643"/>
      <c r="J165" s="628"/>
      <c r="K165" s="627"/>
    </row>
    <row r="166" spans="1:11" s="644" customFormat="1" ht="24.95" customHeight="1">
      <c r="A166" s="639"/>
      <c r="B166" s="646" t="s">
        <v>3116</v>
      </c>
      <c r="C166" s="647" t="s">
        <v>3117</v>
      </c>
      <c r="D166" s="642">
        <f>+'SP Att Alim'!F296+'SP Att Alim'!F297+'SP Att Alim'!F298+'SP Att Alim'!F299</f>
        <v>0</v>
      </c>
      <c r="E166" s="642">
        <f>+'SP Att Alim'!G296+'SP Att Alim'!G297+'SP Att Alim'!G298+'SP Att Alim'!G299</f>
        <v>8241</v>
      </c>
      <c r="F166" s="625"/>
      <c r="G166" s="643"/>
      <c r="J166" s="628"/>
      <c r="K166" s="627"/>
    </row>
    <row r="167" spans="1:11" s="644" customFormat="1" ht="24.95" customHeight="1">
      <c r="A167" s="677"/>
      <c r="B167" s="635" t="s">
        <v>3118</v>
      </c>
      <c r="C167" s="636" t="s">
        <v>3119</v>
      </c>
      <c r="D167" s="637">
        <f>+D168+D172+D173+D174+D175</f>
        <v>96407175.120000005</v>
      </c>
      <c r="E167" s="637">
        <f>+E168+E172+E173+E174+E175</f>
        <v>144100636.19</v>
      </c>
      <c r="F167" s="625"/>
      <c r="G167" s="643"/>
      <c r="J167" s="628"/>
      <c r="K167" s="627"/>
    </row>
    <row r="168" spans="1:11" s="644" customFormat="1" ht="24.95" customHeight="1">
      <c r="A168" s="664"/>
      <c r="B168" s="665" t="s">
        <v>3120</v>
      </c>
      <c r="C168" s="666" t="s">
        <v>3121</v>
      </c>
      <c r="D168" s="667">
        <f>+D169+D170+D171</f>
        <v>96353472.760000005</v>
      </c>
      <c r="E168" s="667">
        <f>+E169+E170+E171</f>
        <v>144044034.57999998</v>
      </c>
      <c r="F168" s="672"/>
      <c r="G168" s="673"/>
      <c r="J168" s="628"/>
      <c r="K168" s="627"/>
    </row>
    <row r="169" spans="1:11" s="644" customFormat="1" ht="24.95" customHeight="1">
      <c r="A169" s="639" t="s">
        <v>1248</v>
      </c>
      <c r="B169" s="640" t="s">
        <v>3122</v>
      </c>
      <c r="C169" s="641" t="s">
        <v>3123</v>
      </c>
      <c r="D169" s="642">
        <f>+'SP Att Alim'!F303</f>
        <v>0</v>
      </c>
      <c r="E169" s="642">
        <f>+'SP Att Alim'!G303</f>
        <v>0</v>
      </c>
      <c r="F169" s="672"/>
      <c r="G169" s="673"/>
      <c r="J169" s="628"/>
      <c r="K169" s="627"/>
    </row>
    <row r="170" spans="1:11" s="644" customFormat="1" ht="24.95" customHeight="1">
      <c r="A170" s="657" t="s">
        <v>1248</v>
      </c>
      <c r="B170" s="658" t="s">
        <v>3124</v>
      </c>
      <c r="C170" s="659" t="s">
        <v>3125</v>
      </c>
      <c r="D170" s="642">
        <f>+'SP Att Alim'!F305+'SP Att Alim'!F306+'SP Att Alim'!F307</f>
        <v>0</v>
      </c>
      <c r="E170" s="642">
        <f>+'SP Att Alim'!G305+'SP Att Alim'!G306+'SP Att Alim'!G307</f>
        <v>0</v>
      </c>
      <c r="F170" s="672"/>
      <c r="G170" s="673"/>
      <c r="J170" s="628"/>
      <c r="K170" s="627"/>
    </row>
    <row r="171" spans="1:11" s="644" customFormat="1" ht="24.95" customHeight="1">
      <c r="A171" s="657" t="s">
        <v>1248</v>
      </c>
      <c r="B171" s="658" t="s">
        <v>3126</v>
      </c>
      <c r="C171" s="659" t="s">
        <v>3127</v>
      </c>
      <c r="D171" s="642">
        <f>+'SP Att Alim'!F309+'SP Att Alim'!F310+'SP Att Alim'!F311</f>
        <v>96353472.760000005</v>
      </c>
      <c r="E171" s="642">
        <f>+'SP Att Alim'!G309+'SP Att Alim'!G310+'SP Att Alim'!G311</f>
        <v>144044034.57999998</v>
      </c>
      <c r="F171" s="672"/>
      <c r="G171" s="673"/>
      <c r="J171" s="628"/>
      <c r="K171" s="627"/>
    </row>
    <row r="172" spans="1:11" s="644" customFormat="1" ht="24.95" customHeight="1">
      <c r="A172" s="657" t="s">
        <v>3077</v>
      </c>
      <c r="B172" s="658" t="s">
        <v>3128</v>
      </c>
      <c r="C172" s="659" t="s">
        <v>3129</v>
      </c>
      <c r="D172" s="642">
        <f>+'SP Att Alim'!F313</f>
        <v>0</v>
      </c>
      <c r="E172" s="642">
        <f>+'SP Att Alim'!G313</f>
        <v>0</v>
      </c>
      <c r="F172" s="672"/>
      <c r="G172" s="673"/>
      <c r="J172" s="628"/>
      <c r="K172" s="627"/>
    </row>
    <row r="173" spans="1:11" s="644" customFormat="1" ht="26.25" customHeight="1">
      <c r="A173" s="657" t="s">
        <v>3077</v>
      </c>
      <c r="B173" s="658" t="s">
        <v>3130</v>
      </c>
      <c r="C173" s="659" t="s">
        <v>3131</v>
      </c>
      <c r="D173" s="642"/>
      <c r="E173" s="642"/>
      <c r="F173" s="672"/>
      <c r="G173" s="673"/>
      <c r="J173" s="628"/>
      <c r="K173" s="627"/>
    </row>
    <row r="174" spans="1:11" s="644" customFormat="1" ht="24.95" customHeight="1">
      <c r="A174" s="657" t="s">
        <v>1297</v>
      </c>
      <c r="B174" s="658" t="s">
        <v>3132</v>
      </c>
      <c r="C174" s="659" t="s">
        <v>3133</v>
      </c>
      <c r="D174" s="642">
        <f>+'SP Att Alim'!F317+'SP Att Alim'!F318+'SP Att Alim'!F319+'SP Att Alim'!F320</f>
        <v>53702.36</v>
      </c>
      <c r="E174" s="642">
        <f>+'SP Att Alim'!G317+'SP Att Alim'!G318+'SP Att Alim'!G319+'SP Att Alim'!G320</f>
        <v>56601.61</v>
      </c>
      <c r="F174" s="672"/>
      <c r="G174" s="673"/>
      <c r="J174" s="628"/>
      <c r="K174" s="627"/>
    </row>
    <row r="175" spans="1:11" s="644" customFormat="1" ht="24.95" customHeight="1">
      <c r="A175" s="669" t="s">
        <v>1248</v>
      </c>
      <c r="B175" s="658" t="s">
        <v>3134</v>
      </c>
      <c r="C175" s="101" t="s">
        <v>3135</v>
      </c>
      <c r="D175" s="642">
        <f>+'SP Att Alim'!F322</f>
        <v>0</v>
      </c>
      <c r="E175" s="642">
        <f>+'SP Att Alim'!G322</f>
        <v>0</v>
      </c>
      <c r="F175" s="672"/>
      <c r="G175" s="673"/>
      <c r="J175" s="628"/>
      <c r="K175" s="627"/>
    </row>
    <row r="176" spans="1:11" s="644" customFormat="1" ht="24.95" customHeight="1">
      <c r="A176" s="645"/>
      <c r="B176" s="635" t="s">
        <v>3136</v>
      </c>
      <c r="C176" s="636" t="s">
        <v>3137</v>
      </c>
      <c r="D176" s="637">
        <f>+D177+D178+D179</f>
        <v>0</v>
      </c>
      <c r="E176" s="637">
        <f>+E177+E178+E179</f>
        <v>0</v>
      </c>
      <c r="F176" s="625"/>
      <c r="G176" s="643"/>
      <c r="J176" s="628"/>
      <c r="K176" s="627"/>
    </row>
    <row r="177" spans="1:11" s="644" customFormat="1" ht="24.95" customHeight="1">
      <c r="A177" s="639"/>
      <c r="B177" s="640" t="s">
        <v>3138</v>
      </c>
      <c r="C177" s="641" t="s">
        <v>3139</v>
      </c>
      <c r="D177" s="642">
        <f>+'SP Att Alim'!F325+'SP Att Alim'!F326</f>
        <v>0</v>
      </c>
      <c r="E177" s="642">
        <f>+'SP Att Alim'!G325+'SP Att Alim'!G326</f>
        <v>0</v>
      </c>
      <c r="F177" s="625"/>
      <c r="G177" s="643"/>
      <c r="J177" s="628"/>
      <c r="K177" s="627"/>
    </row>
    <row r="178" spans="1:11" s="644" customFormat="1" ht="24.95" customHeight="1">
      <c r="A178" s="639"/>
      <c r="B178" s="640" t="s">
        <v>3140</v>
      </c>
      <c r="C178" s="641" t="s">
        <v>3141</v>
      </c>
      <c r="D178" s="642">
        <f>+'SP Att Alim'!F328+'SP Att Alim'!F329</f>
        <v>0</v>
      </c>
      <c r="E178" s="642">
        <f>+'SP Att Alim'!G328+'SP Att Alim'!G329</f>
        <v>0</v>
      </c>
      <c r="F178" s="625"/>
      <c r="G178" s="643"/>
      <c r="J178" s="628"/>
      <c r="K178" s="627"/>
    </row>
    <row r="179" spans="1:11" s="644" customFormat="1" ht="24.95" customHeight="1">
      <c r="A179" s="639"/>
      <c r="B179" s="640" t="s">
        <v>3142</v>
      </c>
      <c r="C179" s="641" t="s">
        <v>3143</v>
      </c>
      <c r="D179" s="642">
        <f>+'SP Att Alim'!F331+'SP Att Alim'!F332+'SP Att Alim'!F333+'SP Att Alim'!F334</f>
        <v>0</v>
      </c>
      <c r="E179" s="642">
        <f>+'SP Att Alim'!G331+'SP Att Alim'!G332+'SP Att Alim'!G333+'SP Att Alim'!G334</f>
        <v>0</v>
      </c>
      <c r="F179" s="625"/>
      <c r="G179" s="643"/>
      <c r="J179" s="628"/>
      <c r="K179" s="627"/>
    </row>
    <row r="180" spans="1:11" s="644" customFormat="1" ht="24.95" customHeight="1">
      <c r="A180" s="639"/>
      <c r="B180" s="646" t="s">
        <v>3144</v>
      </c>
      <c r="C180" s="647" t="s">
        <v>3145</v>
      </c>
      <c r="D180" s="642">
        <f>+'SP Att Alim'!F336+'SP Att Alim'!F337+'SP Att Alim'!F338+'SP Att Alim'!F339+'SP Att Alim'!F340+'SP Att Alim'!F341+'SP Att Alim'!F342+'SP Att Alim'!F343</f>
        <v>47454.23</v>
      </c>
      <c r="E180" s="642">
        <f>+'SP Att Alim'!G336+'SP Att Alim'!G337+'SP Att Alim'!G338+'SP Att Alim'!G339+'SP Att Alim'!G340+'SP Att Alim'!G341+'SP Att Alim'!G342+'SP Att Alim'!G343</f>
        <v>35876.69</v>
      </c>
      <c r="F180" s="625"/>
      <c r="G180" s="643"/>
      <c r="J180" s="628"/>
      <c r="K180" s="627"/>
    </row>
    <row r="181" spans="1:11" s="644" customFormat="1" ht="24.95" customHeight="1">
      <c r="A181" s="645"/>
      <c r="B181" s="635" t="s">
        <v>3146</v>
      </c>
      <c r="C181" s="636" t="s">
        <v>3147</v>
      </c>
      <c r="D181" s="637">
        <f>+D182+D183+D184+D185+D186+D189</f>
        <v>508369.88</v>
      </c>
      <c r="E181" s="637">
        <f>+E182+E183+E184+E185+E186+E189</f>
        <v>566464.68999999994</v>
      </c>
      <c r="F181" s="625"/>
      <c r="G181" s="643"/>
      <c r="J181" s="628"/>
      <c r="K181" s="627"/>
    </row>
    <row r="182" spans="1:11" s="644" customFormat="1" ht="24.95" customHeight="1">
      <c r="A182" s="639"/>
      <c r="B182" s="640" t="s">
        <v>3148</v>
      </c>
      <c r="C182" s="641" t="s">
        <v>3149</v>
      </c>
      <c r="D182" s="642">
        <f>+'SP Att Alim'!F346+'SP Att Alim'!F347+'SP Att Alim'!F348+'SP Att Alim'!F349+'SP Att Alim'!F350+'SP Att Alim'!F351</f>
        <v>6435.5</v>
      </c>
      <c r="E182" s="642">
        <f>+'SP Att Alim'!G346+'SP Att Alim'!G347+'SP Att Alim'!G348+'SP Att Alim'!G349+'SP Att Alim'!G350+'SP Att Alim'!G351</f>
        <v>193340.38</v>
      </c>
      <c r="F182" s="625"/>
      <c r="G182" s="643"/>
      <c r="J182" s="628"/>
      <c r="K182" s="627"/>
    </row>
    <row r="183" spans="1:11" s="644" customFormat="1" ht="24.95" customHeight="1">
      <c r="A183" s="639"/>
      <c r="B183" s="640" t="s">
        <v>3150</v>
      </c>
      <c r="C183" s="641" t="s">
        <v>3151</v>
      </c>
      <c r="D183" s="642">
        <f>+'SP Att Alim'!F353+'SP Att Alim'!F354</f>
        <v>0</v>
      </c>
      <c r="E183" s="642">
        <f>+'SP Att Alim'!G353+'SP Att Alim'!G354</f>
        <v>0</v>
      </c>
      <c r="F183" s="625"/>
      <c r="G183" s="643"/>
      <c r="J183" s="628"/>
      <c r="K183" s="627"/>
    </row>
    <row r="184" spans="1:11" s="644" customFormat="1" ht="24.95" customHeight="1">
      <c r="A184" s="639"/>
      <c r="B184" s="640" t="s">
        <v>3152</v>
      </c>
      <c r="C184" s="641" t="s">
        <v>3153</v>
      </c>
      <c r="D184" s="642">
        <f>+'SP Att Alim'!F356+'SP Att Alim'!F357+'SP Att Alim'!F358+'SP Att Alim'!F359+'SP Att Alim'!F360</f>
        <v>382724.02</v>
      </c>
      <c r="E184" s="642">
        <f>+'SP Att Alim'!G356+'SP Att Alim'!G357+'SP Att Alim'!G358+'SP Att Alim'!G359+'SP Att Alim'!G360</f>
        <v>264431.73</v>
      </c>
      <c r="F184" s="625"/>
      <c r="G184" s="643"/>
      <c r="J184" s="628"/>
      <c r="K184" s="627"/>
    </row>
    <row r="185" spans="1:11" s="644" customFormat="1" ht="24.95" customHeight="1">
      <c r="A185" s="639"/>
      <c r="B185" s="640" t="s">
        <v>3154</v>
      </c>
      <c r="C185" s="641" t="s">
        <v>3155</v>
      </c>
      <c r="D185" s="642">
        <f>+'SP Att Alim'!F362+'SP Att Alim'!F363</f>
        <v>0</v>
      </c>
      <c r="E185" s="642">
        <f>+'SP Att Alim'!G362+'SP Att Alim'!G363</f>
        <v>0</v>
      </c>
      <c r="F185" s="625"/>
      <c r="G185" s="643"/>
      <c r="J185" s="628"/>
      <c r="K185" s="627"/>
    </row>
    <row r="186" spans="1:11" s="644" customFormat="1" ht="24.95" customHeight="1">
      <c r="A186" s="664"/>
      <c r="B186" s="665" t="s">
        <v>3156</v>
      </c>
      <c r="C186" s="666" t="s">
        <v>3157</v>
      </c>
      <c r="D186" s="667">
        <f>+D187+D188</f>
        <v>119210.36</v>
      </c>
      <c r="E186" s="667">
        <f>+E187+E188</f>
        <v>108692.58</v>
      </c>
      <c r="F186" s="625"/>
      <c r="G186" s="643"/>
      <c r="J186" s="628"/>
      <c r="K186" s="627"/>
    </row>
    <row r="187" spans="1:11" s="644" customFormat="1" ht="24.95" customHeight="1">
      <c r="A187" s="648"/>
      <c r="B187" s="678" t="s">
        <v>3158</v>
      </c>
      <c r="C187" s="679" t="s">
        <v>3159</v>
      </c>
      <c r="D187" s="642">
        <f>+'SP Att Alim'!F366+'SP Att Alim'!F367+'SP Att Alim'!F368+'SP Att Alim'!F369+'SP Att Alim'!F370+'SP Att Alim'!F371+'SP Att Alim'!F372+'SP Att Alim'!F373</f>
        <v>119210.36</v>
      </c>
      <c r="E187" s="642">
        <f>+'SP Att Alim'!G366+'SP Att Alim'!G367+'SP Att Alim'!G368+'SP Att Alim'!G369+'SP Att Alim'!G370+'SP Att Alim'!G371+'SP Att Alim'!G372+'SP Att Alim'!G373</f>
        <v>108692.58</v>
      </c>
      <c r="F187" s="625"/>
      <c r="G187" s="643"/>
      <c r="J187" s="628"/>
      <c r="K187" s="627"/>
    </row>
    <row r="188" spans="1:11" s="644" customFormat="1" ht="24.95" customHeight="1">
      <c r="A188" s="639"/>
      <c r="B188" s="680" t="s">
        <v>3160</v>
      </c>
      <c r="C188" s="681" t="s">
        <v>3161</v>
      </c>
      <c r="D188" s="642">
        <f>+'SP Att Alim'!F375</f>
        <v>0</v>
      </c>
      <c r="E188" s="642">
        <f>+'SP Att Alim'!G375</f>
        <v>0</v>
      </c>
      <c r="F188" s="625"/>
      <c r="G188" s="643"/>
      <c r="J188" s="628"/>
      <c r="K188" s="627"/>
    </row>
    <row r="189" spans="1:11" s="644" customFormat="1" ht="24.95" customHeight="1">
      <c r="A189" s="664"/>
      <c r="B189" s="682" t="s">
        <v>3162</v>
      </c>
      <c r="C189" s="683" t="s">
        <v>3163</v>
      </c>
      <c r="D189" s="667">
        <f>+D190+D191</f>
        <v>0</v>
      </c>
      <c r="E189" s="667">
        <f>+E190+E191</f>
        <v>0</v>
      </c>
      <c r="F189" s="625"/>
      <c r="G189" s="643"/>
      <c r="J189" s="628"/>
      <c r="K189" s="627"/>
    </row>
    <row r="190" spans="1:11" s="644" customFormat="1" ht="24.95" customHeight="1">
      <c r="A190" s="648"/>
      <c r="B190" s="678" t="s">
        <v>3164</v>
      </c>
      <c r="C190" s="681" t="s">
        <v>3165</v>
      </c>
      <c r="D190" s="642">
        <f>+'SP Att Alim'!F378</f>
        <v>0</v>
      </c>
      <c r="E190" s="642">
        <f>+'SP Att Alim'!G378</f>
        <v>0</v>
      </c>
      <c r="F190" s="625"/>
      <c r="G190" s="643"/>
      <c r="J190" s="628"/>
      <c r="K190" s="627"/>
    </row>
    <row r="191" spans="1:11" s="644" customFormat="1" ht="24.95" customHeight="1">
      <c r="A191" s="639"/>
      <c r="B191" s="678" t="s">
        <v>3166</v>
      </c>
      <c r="C191" s="681" t="s">
        <v>3167</v>
      </c>
      <c r="D191" s="642">
        <f>+'SP Att Alim'!F380</f>
        <v>0</v>
      </c>
      <c r="E191" s="642">
        <f>+'SP Att Alim'!G380</f>
        <v>0</v>
      </c>
      <c r="F191" s="625"/>
      <c r="G191" s="643"/>
      <c r="J191" s="628"/>
      <c r="K191" s="627"/>
    </row>
    <row r="192" spans="1:11" s="644" customFormat="1" ht="24.95" customHeight="1">
      <c r="A192" s="652"/>
      <c r="B192" s="684" t="s">
        <v>3168</v>
      </c>
      <c r="C192" s="685" t="s">
        <v>3169</v>
      </c>
      <c r="D192" s="686">
        <f>+D193+D194</f>
        <v>0</v>
      </c>
      <c r="E192" s="686">
        <f>+E193+E194</f>
        <v>0</v>
      </c>
      <c r="F192" s="625"/>
      <c r="G192" s="643"/>
      <c r="J192" s="628"/>
      <c r="K192" s="627"/>
    </row>
    <row r="193" spans="1:11" s="644" customFormat="1" ht="24.95" customHeight="1">
      <c r="A193" s="639"/>
      <c r="B193" s="646" t="s">
        <v>3170</v>
      </c>
      <c r="C193" s="647" t="s">
        <v>3171</v>
      </c>
      <c r="D193" s="642">
        <f>+'SP Att Alim'!F383+'SP Att Alim'!F384+'SP Att Alim'!F385</f>
        <v>0</v>
      </c>
      <c r="E193" s="642">
        <f>+'SP Att Alim'!G383+'SP Att Alim'!G384+'SP Att Alim'!G385</f>
        <v>0</v>
      </c>
      <c r="F193" s="625"/>
      <c r="G193" s="643"/>
      <c r="J193" s="628"/>
      <c r="K193" s="627"/>
    </row>
    <row r="194" spans="1:11" s="644" customFormat="1" ht="24.95" customHeight="1" thickBot="1">
      <c r="A194" s="649"/>
      <c r="B194" s="687" t="s">
        <v>3172</v>
      </c>
      <c r="C194" s="688" t="s">
        <v>3173</v>
      </c>
      <c r="D194" s="642">
        <f>+'SP Att Alim'!F387</f>
        <v>0</v>
      </c>
      <c r="E194" s="642">
        <f>+'SP Att Alim'!G387</f>
        <v>0</v>
      </c>
      <c r="F194" s="625"/>
      <c r="G194" s="643"/>
      <c r="J194" s="628"/>
      <c r="K194" s="627"/>
    </row>
    <row r="195" spans="1:11" s="644" customFormat="1" ht="24.95" customHeight="1">
      <c r="A195" s="652"/>
      <c r="B195" s="653" t="s">
        <v>3174</v>
      </c>
      <c r="C195" s="654" t="s">
        <v>3175</v>
      </c>
      <c r="D195" s="655">
        <f>+D196+D197+D198+D199</f>
        <v>38999329.549999997</v>
      </c>
      <c r="E195" s="655">
        <f>+E196+E197+E198+E199</f>
        <v>32808726.25</v>
      </c>
      <c r="F195" s="625"/>
      <c r="G195" s="643"/>
      <c r="J195" s="628"/>
      <c r="K195" s="627"/>
    </row>
    <row r="196" spans="1:11" s="644" customFormat="1" ht="24.95" customHeight="1">
      <c r="A196" s="639"/>
      <c r="B196" s="646" t="s">
        <v>3176</v>
      </c>
      <c r="C196" s="647" t="s">
        <v>3177</v>
      </c>
      <c r="D196" s="642">
        <f>+'SP Att Alim'!F391+'SP Att Alim'!F392+'SP Att Alim'!F394+'SP Att Alim'!F395</f>
        <v>1343</v>
      </c>
      <c r="E196" s="642">
        <f>+'SP Att Alim'!G391+'SP Att Alim'!G392+'SP Att Alim'!G394+'SP Att Alim'!G395</f>
        <v>1373.42</v>
      </c>
      <c r="F196" s="625"/>
      <c r="G196" s="643"/>
      <c r="J196" s="628"/>
      <c r="K196" s="627"/>
    </row>
    <row r="197" spans="1:11" s="644" customFormat="1" ht="24.95" customHeight="1">
      <c r="A197" s="639"/>
      <c r="B197" s="646" t="s">
        <v>3178</v>
      </c>
      <c r="C197" s="647" t="s">
        <v>3179</v>
      </c>
      <c r="D197" s="642">
        <f>+'SP Att Alim'!F397+'SP Att Alim'!F398+'SP Att Alim'!F399+'SP Att Alim'!F400+'SP Att Alim'!F401</f>
        <v>38997986.549999997</v>
      </c>
      <c r="E197" s="642">
        <f>+'SP Att Alim'!G397+'SP Att Alim'!G398+'SP Att Alim'!G399+'SP Att Alim'!G400+'SP Att Alim'!G401</f>
        <v>32807352.829999998</v>
      </c>
      <c r="F197" s="625"/>
      <c r="G197" s="643"/>
      <c r="J197" s="628"/>
      <c r="K197" s="627"/>
    </row>
    <row r="198" spans="1:11" s="644" customFormat="1" ht="24.95" customHeight="1">
      <c r="A198" s="639"/>
      <c r="B198" s="646" t="s">
        <v>3180</v>
      </c>
      <c r="C198" s="647" t="s">
        <v>3181</v>
      </c>
      <c r="D198" s="642">
        <f>+'SP Att Alim'!F403</f>
        <v>0</v>
      </c>
      <c r="E198" s="642">
        <f>+'SP Att Alim'!G403</f>
        <v>0</v>
      </c>
      <c r="F198" s="625"/>
      <c r="G198" s="643"/>
      <c r="J198" s="628"/>
      <c r="K198" s="627"/>
    </row>
    <row r="199" spans="1:11" s="644" customFormat="1" ht="24.95" customHeight="1" thickBot="1">
      <c r="A199" s="649"/>
      <c r="B199" s="687" t="s">
        <v>3182</v>
      </c>
      <c r="C199" s="688" t="s">
        <v>3183</v>
      </c>
      <c r="D199" s="642">
        <f>+'SP Att Alim'!F405+'SP Att Alim'!F406+'SP Att Alim'!F407+'SP Att Alim'!F408+'SP Att Alim'!F409+'SP Att Alim'!F411+'SP Att Alim'!F412+'SP Att Alim'!F413+'SP Att Alim'!F414+'SP Att Alim'!F415+'SP Att Alim'!F416+'SP Att Alim'!F417+'SP Att Alim'!F418+'SP Att Alim'!F419+'SP Att Alim'!F420+'SP Att Alim'!F421+'SP Att Alim'!F422</f>
        <v>0</v>
      </c>
      <c r="E199" s="642">
        <f>+'SP Att Alim'!G405+'SP Att Alim'!G406+'SP Att Alim'!G407+'SP Att Alim'!G408+'SP Att Alim'!G409+'SP Att Alim'!G411+'SP Att Alim'!G412+'SP Att Alim'!G413+'SP Att Alim'!G414+'SP Att Alim'!G415+'SP Att Alim'!G416+'SP Att Alim'!G417+'SP Att Alim'!G418+'SP Att Alim'!G419+'SP Att Alim'!G420+'SP Att Alim'!G421+'SP Att Alim'!G422</f>
        <v>0</v>
      </c>
      <c r="F199" s="625"/>
      <c r="G199" s="643"/>
      <c r="J199" s="628"/>
      <c r="K199" s="627"/>
    </row>
    <row r="200" spans="1:11" s="644" customFormat="1" ht="24.95" customHeight="1">
      <c r="A200" s="621"/>
      <c r="B200" s="622" t="s">
        <v>3184</v>
      </c>
      <c r="C200" s="623" t="s">
        <v>3185</v>
      </c>
      <c r="D200" s="656">
        <f>+D201+D204</f>
        <v>663555.41</v>
      </c>
      <c r="E200" s="656">
        <f>+E201+E204</f>
        <v>1841598.81</v>
      </c>
      <c r="F200" s="625"/>
      <c r="G200" s="643"/>
      <c r="J200" s="628"/>
      <c r="K200" s="627"/>
    </row>
    <row r="201" spans="1:11" s="644" customFormat="1" ht="24.95" customHeight="1">
      <c r="A201" s="629"/>
      <c r="B201" s="630" t="s">
        <v>3186</v>
      </c>
      <c r="C201" s="631" t="s">
        <v>3187</v>
      </c>
      <c r="D201" s="632">
        <f>+D202+D203</f>
        <v>0</v>
      </c>
      <c r="E201" s="632">
        <f>+E202+E203</f>
        <v>0</v>
      </c>
      <c r="F201" s="625"/>
      <c r="G201" s="643"/>
      <c r="J201" s="628"/>
      <c r="K201" s="627"/>
    </row>
    <row r="202" spans="1:11" s="644" customFormat="1" ht="24.95" customHeight="1">
      <c r="A202" s="639"/>
      <c r="B202" s="646" t="s">
        <v>3188</v>
      </c>
      <c r="C202" s="647" t="s">
        <v>3189</v>
      </c>
      <c r="D202" s="642">
        <f>+'SP Att Alim'!F426</f>
        <v>0</v>
      </c>
      <c r="E202" s="642">
        <f>+'SP Att Alim'!G426</f>
        <v>0</v>
      </c>
      <c r="F202" s="625"/>
      <c r="G202" s="643"/>
      <c r="J202" s="628"/>
      <c r="K202" s="627"/>
    </row>
    <row r="203" spans="1:11" s="644" customFormat="1" ht="24.95" customHeight="1">
      <c r="A203" s="689" t="s">
        <v>1248</v>
      </c>
      <c r="B203" s="646" t="s">
        <v>3190</v>
      </c>
      <c r="C203" s="647" t="s">
        <v>3191</v>
      </c>
      <c r="D203" s="642">
        <f>+'SP Att Alim'!F428</f>
        <v>0</v>
      </c>
      <c r="E203" s="642">
        <f>+'SP Att Alim'!G428</f>
        <v>0</v>
      </c>
      <c r="F203" s="625"/>
      <c r="G203" s="643"/>
      <c r="J203" s="628"/>
      <c r="K203" s="627"/>
    </row>
    <row r="204" spans="1:11" s="644" customFormat="1" ht="24.95" customHeight="1">
      <c r="A204" s="629"/>
      <c r="B204" s="630" t="s">
        <v>3192</v>
      </c>
      <c r="C204" s="631" t="s">
        <v>3193</v>
      </c>
      <c r="D204" s="632">
        <f>+D205+D206</f>
        <v>663555.41</v>
      </c>
      <c r="E204" s="632">
        <f>+E205+E206</f>
        <v>1841598.81</v>
      </c>
      <c r="F204" s="625"/>
      <c r="G204" s="643"/>
      <c r="J204" s="628"/>
      <c r="K204" s="627"/>
    </row>
    <row r="205" spans="1:11" s="644" customFormat="1" ht="24.95" customHeight="1">
      <c r="A205" s="639"/>
      <c r="B205" s="646" t="s">
        <v>3194</v>
      </c>
      <c r="C205" s="647" t="s">
        <v>3195</v>
      </c>
      <c r="D205" s="642">
        <f>+'SP Att Alim'!F431</f>
        <v>663555.41</v>
      </c>
      <c r="E205" s="642">
        <f>+'SP Att Alim'!G431</f>
        <v>1841598.81</v>
      </c>
      <c r="F205" s="625"/>
      <c r="G205" s="643"/>
      <c r="J205" s="628"/>
      <c r="K205" s="627"/>
    </row>
    <row r="206" spans="1:11" s="644" customFormat="1" ht="24.95" customHeight="1" thickBot="1">
      <c r="A206" s="690" t="s">
        <v>1248</v>
      </c>
      <c r="B206" s="687" t="s">
        <v>3196</v>
      </c>
      <c r="C206" s="688" t="s">
        <v>3197</v>
      </c>
      <c r="D206" s="642">
        <f>+'SP Att Alim'!F433</f>
        <v>0</v>
      </c>
      <c r="E206" s="642">
        <f>+'SP Att Alim'!G433</f>
        <v>0</v>
      </c>
      <c r="F206" s="625"/>
      <c r="G206" s="643"/>
      <c r="J206" s="628"/>
      <c r="K206" s="627"/>
    </row>
    <row r="207" spans="1:11" s="644" customFormat="1" ht="24.95" customHeight="1" thickBot="1">
      <c r="A207" s="691"/>
      <c r="B207" s="692" t="s">
        <v>3198</v>
      </c>
      <c r="C207" s="693" t="s">
        <v>3199</v>
      </c>
      <c r="D207" s="694">
        <f>+D30+D108+D200</f>
        <v>243721454.90999997</v>
      </c>
      <c r="E207" s="694">
        <f>+E30+E108+E200</f>
        <v>249702444.94999999</v>
      </c>
      <c r="F207" s="625"/>
      <c r="G207" s="643"/>
      <c r="J207" s="628"/>
      <c r="K207" s="627"/>
    </row>
    <row r="208" spans="1:11" s="644" customFormat="1" ht="24.95" customHeight="1">
      <c r="A208" s="695"/>
      <c r="B208" s="622" t="s">
        <v>3200</v>
      </c>
      <c r="C208" s="696" t="s">
        <v>3201</v>
      </c>
      <c r="D208" s="697">
        <f>+D209+D210+D211+D212+D213</f>
        <v>347396.87</v>
      </c>
      <c r="E208" s="697">
        <f>+E209+E210+E211+E212+E213</f>
        <v>347396.87</v>
      </c>
      <c r="F208" s="625"/>
      <c r="G208" s="643"/>
      <c r="J208" s="628"/>
      <c r="K208" s="627"/>
    </row>
    <row r="209" spans="1:11" s="644" customFormat="1" ht="24.95" customHeight="1">
      <c r="A209" s="639"/>
      <c r="B209" s="698" t="s">
        <v>3202</v>
      </c>
      <c r="C209" s="699" t="s">
        <v>3203</v>
      </c>
      <c r="D209" s="642">
        <f>+'SP Att Alim'!F437</f>
        <v>0</v>
      </c>
      <c r="E209" s="642">
        <f>+'SP Att Alim'!G437</f>
        <v>0</v>
      </c>
      <c r="F209" s="625"/>
      <c r="G209" s="643"/>
      <c r="J209" s="628"/>
      <c r="K209" s="627"/>
    </row>
    <row r="210" spans="1:11" s="644" customFormat="1" ht="24.95" customHeight="1">
      <c r="A210" s="639"/>
      <c r="B210" s="698" t="s">
        <v>3204</v>
      </c>
      <c r="C210" s="699" t="s">
        <v>3205</v>
      </c>
      <c r="D210" s="642">
        <f>+'SP Att Alim'!F439</f>
        <v>0</v>
      </c>
      <c r="E210" s="642">
        <f>+'SP Att Alim'!G439</f>
        <v>0</v>
      </c>
      <c r="F210" s="625"/>
      <c r="G210" s="643"/>
      <c r="J210" s="628"/>
      <c r="K210" s="627"/>
    </row>
    <row r="211" spans="1:11" s="644" customFormat="1" ht="24.95" customHeight="1">
      <c r="A211" s="639"/>
      <c r="B211" s="698" t="s">
        <v>3206</v>
      </c>
      <c r="C211" s="699" t="s">
        <v>3207</v>
      </c>
      <c r="D211" s="642">
        <f>+'SP Att Alim'!F441</f>
        <v>347396.87</v>
      </c>
      <c r="E211" s="642">
        <f>+'SP Att Alim'!G441</f>
        <v>347396.87</v>
      </c>
      <c r="F211" s="625"/>
      <c r="G211" s="643"/>
      <c r="J211" s="628"/>
      <c r="K211" s="627"/>
    </row>
    <row r="212" spans="1:11" s="644" customFormat="1" ht="24.95" customHeight="1">
      <c r="A212" s="700"/>
      <c r="B212" s="698" t="s">
        <v>3208</v>
      </c>
      <c r="C212" s="699" t="s">
        <v>3209</v>
      </c>
      <c r="D212" s="642">
        <f>+'SP Att Alim'!F443</f>
        <v>0</v>
      </c>
      <c r="E212" s="642">
        <f>+'SP Att Alim'!G443</f>
        <v>0</v>
      </c>
      <c r="F212" s="625"/>
      <c r="G212" s="643"/>
      <c r="J212" s="628"/>
      <c r="K212" s="627"/>
    </row>
    <row r="213" spans="1:11" s="644" customFormat="1" ht="24.95" customHeight="1" thickBot="1">
      <c r="A213" s="649"/>
      <c r="B213" s="701" t="s">
        <v>3210</v>
      </c>
      <c r="C213" s="702" t="s">
        <v>3211</v>
      </c>
      <c r="D213" s="642">
        <f>+'SP Att Alim'!F445+'SP Att Alim'!F446+'SP Att Alim'!F447+'SP Att Alim'!F448+'SP Att Alim'!F449</f>
        <v>0</v>
      </c>
      <c r="E213" s="642">
        <f>+'SP Att Alim'!G445+'SP Att Alim'!G446+'SP Att Alim'!G447+'SP Att Alim'!G448+'SP Att Alim'!G449</f>
        <v>0</v>
      </c>
      <c r="F213" s="625"/>
      <c r="G213" s="643"/>
      <c r="J213" s="628"/>
      <c r="K213" s="627"/>
    </row>
    <row r="214" spans="1:11" s="644" customFormat="1" ht="24.95" customHeight="1">
      <c r="A214" s="695"/>
      <c r="B214" s="622" t="s">
        <v>3212</v>
      </c>
      <c r="C214" s="623" t="s">
        <v>3213</v>
      </c>
      <c r="D214" s="656">
        <f>+D215+D216+D225+D226+D232+D236+D237</f>
        <v>20184487.370000139</v>
      </c>
      <c r="E214" s="656">
        <f>+E215+E216+E225+E226+E232+E236+E237</f>
        <v>7340658.0799999088</v>
      </c>
      <c r="F214" s="625"/>
      <c r="G214" s="643"/>
      <c r="J214" s="628"/>
      <c r="K214" s="627"/>
    </row>
    <row r="215" spans="1:11" s="644" customFormat="1" ht="24.95" customHeight="1">
      <c r="A215" s="639"/>
      <c r="B215" s="703" t="s">
        <v>3214</v>
      </c>
      <c r="C215" s="704" t="s">
        <v>3215</v>
      </c>
      <c r="D215" s="642">
        <f>+'SP Pas Alim'!F5</f>
        <v>0</v>
      </c>
      <c r="E215" s="642">
        <f>+'SP Pas Alim'!G5</f>
        <v>0</v>
      </c>
      <c r="F215" s="625"/>
      <c r="G215" s="643"/>
      <c r="J215" s="628"/>
      <c r="K215" s="627"/>
    </row>
    <row r="216" spans="1:11" s="644" customFormat="1" ht="24.95" customHeight="1">
      <c r="A216" s="629"/>
      <c r="B216" s="630" t="s">
        <v>3216</v>
      </c>
      <c r="C216" s="631" t="s">
        <v>3217</v>
      </c>
      <c r="D216" s="632">
        <f>+D217+D218+D222+D223+D224</f>
        <v>12693434.290000001</v>
      </c>
      <c r="E216" s="632">
        <f>+E217+E218+E222+E223+E224</f>
        <v>808959.73</v>
      </c>
      <c r="F216" s="625"/>
      <c r="G216" s="643"/>
      <c r="J216" s="628"/>
      <c r="K216" s="627"/>
    </row>
    <row r="217" spans="1:11" s="644" customFormat="1" ht="24.95" customHeight="1">
      <c r="A217" s="639"/>
      <c r="B217" s="646" t="s">
        <v>3218</v>
      </c>
      <c r="C217" s="647" t="s">
        <v>3219</v>
      </c>
      <c r="D217" s="642">
        <f>+'SP Pas Alim'!F8</f>
        <v>0</v>
      </c>
      <c r="E217" s="642">
        <f>+'SP Pas Alim'!G8</f>
        <v>0</v>
      </c>
      <c r="F217" s="625"/>
      <c r="G217" s="643"/>
      <c r="J217" s="628"/>
      <c r="K217" s="627"/>
    </row>
    <row r="218" spans="1:11" s="644" customFormat="1" ht="24.95" customHeight="1">
      <c r="A218" s="645"/>
      <c r="B218" s="635" t="s">
        <v>3220</v>
      </c>
      <c r="C218" s="636" t="s">
        <v>3221</v>
      </c>
      <c r="D218" s="637">
        <f>+D219+D220+D221</f>
        <v>0</v>
      </c>
      <c r="E218" s="637">
        <f>+E219+E220+E221</f>
        <v>0</v>
      </c>
      <c r="F218" s="625"/>
      <c r="G218" s="643"/>
      <c r="J218" s="628"/>
      <c r="K218" s="627"/>
    </row>
    <row r="219" spans="1:11" s="644" customFormat="1" ht="24.95" customHeight="1">
      <c r="A219" s="639"/>
      <c r="B219" s="640" t="s">
        <v>3222</v>
      </c>
      <c r="C219" s="641" t="s">
        <v>3223</v>
      </c>
      <c r="D219" s="642">
        <f>+'SP Pas Alim'!F11</f>
        <v>0</v>
      </c>
      <c r="E219" s="642">
        <f>+'SP Pas Alim'!G11</f>
        <v>0</v>
      </c>
      <c r="F219" s="625"/>
      <c r="G219" s="643"/>
      <c r="J219" s="628"/>
      <c r="K219" s="627"/>
    </row>
    <row r="220" spans="1:11" s="644" customFormat="1" ht="24.95" customHeight="1">
      <c r="A220" s="639"/>
      <c r="B220" s="640" t="s">
        <v>3224</v>
      </c>
      <c r="C220" s="641" t="s">
        <v>3225</v>
      </c>
      <c r="D220" s="642">
        <f>+'SP Pas Alim'!F13</f>
        <v>0</v>
      </c>
      <c r="E220" s="642">
        <f>+'SP Pas Alim'!G13</f>
        <v>0</v>
      </c>
      <c r="F220" s="625"/>
      <c r="G220" s="643"/>
      <c r="J220" s="628"/>
      <c r="K220" s="627"/>
    </row>
    <row r="221" spans="1:11" s="644" customFormat="1" ht="24.95" customHeight="1">
      <c r="A221" s="639"/>
      <c r="B221" s="640" t="s">
        <v>3226</v>
      </c>
      <c r="C221" s="641" t="s">
        <v>3227</v>
      </c>
      <c r="D221" s="642">
        <f>+'SP Pas Alim'!F15</f>
        <v>0</v>
      </c>
      <c r="E221" s="642">
        <f>+'SP Pas Alim'!G15</f>
        <v>0</v>
      </c>
      <c r="F221" s="625"/>
      <c r="G221" s="643"/>
      <c r="J221" s="628"/>
      <c r="K221" s="627"/>
    </row>
    <row r="222" spans="1:11" s="644" customFormat="1" ht="24.95" customHeight="1">
      <c r="A222" s="639"/>
      <c r="B222" s="646" t="s">
        <v>3228</v>
      </c>
      <c r="C222" s="647" t="s">
        <v>3229</v>
      </c>
      <c r="D222" s="642">
        <f>+'SP Pas Alim'!F17+'SP Pas Alim'!F18</f>
        <v>12691551.83</v>
      </c>
      <c r="E222" s="642">
        <f>+'SP Pas Alim'!G17+'SP Pas Alim'!G18</f>
        <v>807077.27</v>
      </c>
      <c r="F222" s="625"/>
      <c r="G222" s="643"/>
      <c r="J222" s="628"/>
      <c r="K222" s="627"/>
    </row>
    <row r="223" spans="1:11" s="644" customFormat="1" ht="24.95" customHeight="1">
      <c r="A223" s="639"/>
      <c r="B223" s="646" t="s">
        <v>3230</v>
      </c>
      <c r="C223" s="647" t="s">
        <v>3231</v>
      </c>
      <c r="D223" s="642">
        <f>+'SP Pas Alim'!F20+'SP Pas Alim'!F21</f>
        <v>1882.46</v>
      </c>
      <c r="E223" s="642">
        <f>+'SP Pas Alim'!G20+'SP Pas Alim'!G21</f>
        <v>1882.46</v>
      </c>
      <c r="F223" s="625"/>
      <c r="G223" s="643"/>
      <c r="J223" s="628"/>
      <c r="K223" s="627"/>
    </row>
    <row r="224" spans="1:11" s="644" customFormat="1" ht="24.95" customHeight="1">
      <c r="A224" s="639"/>
      <c r="B224" s="646" t="s">
        <v>3232</v>
      </c>
      <c r="C224" s="647" t="s">
        <v>3233</v>
      </c>
      <c r="D224" s="642">
        <f>+'SP Pas Alim'!F23</f>
        <v>0</v>
      </c>
      <c r="E224" s="642">
        <f>+'SP Pas Alim'!G23</f>
        <v>0</v>
      </c>
      <c r="F224" s="625"/>
      <c r="G224" s="643"/>
      <c r="J224" s="628"/>
      <c r="K224" s="627"/>
    </row>
    <row r="225" spans="1:11" s="644" customFormat="1" ht="24.95" customHeight="1">
      <c r="A225" s="639"/>
      <c r="B225" s="703" t="s">
        <v>3234</v>
      </c>
      <c r="C225" s="704" t="s">
        <v>3235</v>
      </c>
      <c r="D225" s="642">
        <f>+'SP Pas Alim'!F25</f>
        <v>0</v>
      </c>
      <c r="E225" s="642">
        <f>+'SP Pas Alim'!G25</f>
        <v>0</v>
      </c>
      <c r="F225" s="625"/>
      <c r="G225" s="643"/>
      <c r="J225" s="628"/>
      <c r="K225" s="627"/>
    </row>
    <row r="226" spans="1:11" s="644" customFormat="1" ht="24.95" customHeight="1">
      <c r="A226" s="629"/>
      <c r="B226" s="630" t="s">
        <v>3236</v>
      </c>
      <c r="C226" s="631" t="s">
        <v>3237</v>
      </c>
      <c r="D226" s="632">
        <f>+D227+D228+D229+D230+D231</f>
        <v>6531698.3500000006</v>
      </c>
      <c r="E226" s="632">
        <f>+E227+E228+E229+E230+E231</f>
        <v>3656736.88</v>
      </c>
      <c r="F226" s="625"/>
      <c r="G226" s="643"/>
      <c r="J226" s="628"/>
      <c r="K226" s="627"/>
    </row>
    <row r="227" spans="1:11" s="644" customFormat="1" ht="24.95" customHeight="1">
      <c r="A227" s="639"/>
      <c r="B227" s="646" t="s">
        <v>3238</v>
      </c>
      <c r="C227" s="647" t="s">
        <v>3239</v>
      </c>
      <c r="D227" s="642">
        <f>+'SP Pas Alim'!F28</f>
        <v>0</v>
      </c>
      <c r="E227" s="642">
        <f>+'SP Pas Alim'!G28</f>
        <v>0</v>
      </c>
      <c r="F227" s="625"/>
      <c r="G227" s="643"/>
      <c r="J227" s="628"/>
      <c r="K227" s="627"/>
    </row>
    <row r="228" spans="1:11" s="644" customFormat="1" ht="24.95" customHeight="1">
      <c r="A228" s="639"/>
      <c r="B228" s="646" t="s">
        <v>3240</v>
      </c>
      <c r="C228" s="647" t="s">
        <v>3241</v>
      </c>
      <c r="D228" s="642">
        <f>+'SP Pas Alim'!F30</f>
        <v>0</v>
      </c>
      <c r="E228" s="642">
        <f>+'SP Pas Alim'!G30</f>
        <v>0</v>
      </c>
      <c r="F228" s="625"/>
      <c r="G228" s="643"/>
      <c r="J228" s="628"/>
      <c r="K228" s="627"/>
    </row>
    <row r="229" spans="1:11" s="644" customFormat="1" ht="24.95" customHeight="1">
      <c r="A229" s="639"/>
      <c r="B229" s="646" t="s">
        <v>3242</v>
      </c>
      <c r="C229" s="647" t="s">
        <v>3243</v>
      </c>
      <c r="D229" s="642">
        <f>+'SP Pas Alim'!F32</f>
        <v>0</v>
      </c>
      <c r="E229" s="642">
        <f>+'SP Pas Alim'!G32</f>
        <v>0</v>
      </c>
      <c r="F229" s="625"/>
      <c r="G229" s="643"/>
      <c r="J229" s="628"/>
      <c r="K229" s="627"/>
    </row>
    <row r="230" spans="1:11" s="644" customFormat="1" ht="24.95" customHeight="1">
      <c r="A230" s="639"/>
      <c r="B230" s="646" t="s">
        <v>3244</v>
      </c>
      <c r="C230" s="647" t="s">
        <v>3245</v>
      </c>
      <c r="D230" s="642">
        <f>+'SP Pas Alim'!F34</f>
        <v>6517767.2000000002</v>
      </c>
      <c r="E230" s="642">
        <f>+'SP Pas Alim'!G34</f>
        <v>3642805.73</v>
      </c>
      <c r="F230" s="625"/>
      <c r="G230" s="643"/>
      <c r="J230" s="628"/>
      <c r="K230" s="627"/>
    </row>
    <row r="231" spans="1:11" s="644" customFormat="1" ht="24.95" customHeight="1">
      <c r="A231" s="639"/>
      <c r="B231" s="646" t="s">
        <v>3246</v>
      </c>
      <c r="C231" s="647" t="s">
        <v>3247</v>
      </c>
      <c r="D231" s="642">
        <f>+'SP Pas Alim'!F36</f>
        <v>13931.15</v>
      </c>
      <c r="E231" s="642">
        <f>+'SP Pas Alim'!G36</f>
        <v>13931.15</v>
      </c>
      <c r="F231" s="625"/>
      <c r="G231" s="643"/>
      <c r="J231" s="628"/>
      <c r="K231" s="627"/>
    </row>
    <row r="232" spans="1:11" s="644" customFormat="1" ht="24.95" customHeight="1">
      <c r="A232" s="629"/>
      <c r="B232" s="630" t="s">
        <v>3248</v>
      </c>
      <c r="C232" s="631" t="s">
        <v>3249</v>
      </c>
      <c r="D232" s="632">
        <f>+D233+D234+D235</f>
        <v>0</v>
      </c>
      <c r="E232" s="632">
        <f>+E233+E234+E235</f>
        <v>0</v>
      </c>
      <c r="F232" s="625"/>
      <c r="G232" s="643"/>
      <c r="J232" s="628"/>
      <c r="K232" s="627"/>
    </row>
    <row r="233" spans="1:11" s="644" customFormat="1" ht="24.95" customHeight="1">
      <c r="A233" s="639"/>
      <c r="B233" s="646" t="s">
        <v>3250</v>
      </c>
      <c r="C233" s="647" t="s">
        <v>3251</v>
      </c>
      <c r="D233" s="642">
        <f>+'SP Pas Alim'!F39</f>
        <v>0</v>
      </c>
      <c r="E233" s="642">
        <f>+'SP Pas Alim'!G39</f>
        <v>0</v>
      </c>
      <c r="F233" s="625"/>
      <c r="G233" s="643"/>
      <c r="J233" s="628"/>
      <c r="K233" s="627"/>
    </row>
    <row r="234" spans="1:11" s="644" customFormat="1" ht="24.95" customHeight="1">
      <c r="A234" s="639"/>
      <c r="B234" s="646" t="s">
        <v>3252</v>
      </c>
      <c r="C234" s="647" t="s">
        <v>3253</v>
      </c>
      <c r="D234" s="642">
        <f>+'SP Pas Alim'!F41</f>
        <v>0</v>
      </c>
      <c r="E234" s="642">
        <f>+'SP Pas Alim'!G41</f>
        <v>0</v>
      </c>
      <c r="F234" s="625"/>
      <c r="G234" s="643"/>
      <c r="J234" s="628"/>
      <c r="K234" s="627"/>
    </row>
    <row r="235" spans="1:11" s="644" customFormat="1" ht="24.95" customHeight="1">
      <c r="A235" s="639"/>
      <c r="B235" s="646" t="s">
        <v>3254</v>
      </c>
      <c r="C235" s="647" t="s">
        <v>3255</v>
      </c>
      <c r="D235" s="642">
        <f>+'SP Pas Alim'!F43</f>
        <v>0</v>
      </c>
      <c r="E235" s="642">
        <f>+'SP Pas Alim'!G43</f>
        <v>0</v>
      </c>
      <c r="F235" s="625"/>
      <c r="G235" s="643"/>
      <c r="J235" s="628"/>
      <c r="K235" s="627"/>
    </row>
    <row r="236" spans="1:11" s="644" customFormat="1" ht="24.95" customHeight="1">
      <c r="A236" s="639"/>
      <c r="B236" s="703" t="s">
        <v>3256</v>
      </c>
      <c r="C236" s="704" t="s">
        <v>3257</v>
      </c>
      <c r="D236" s="642">
        <f>+'SP Pas Alim'!F45</f>
        <v>0</v>
      </c>
      <c r="E236" s="642">
        <f>+'SP Pas Alim'!G45</f>
        <v>0</v>
      </c>
      <c r="F236" s="625"/>
      <c r="G236" s="643"/>
      <c r="J236" s="628"/>
      <c r="K236" s="627"/>
    </row>
    <row r="237" spans="1:11" s="644" customFormat="1" ht="24.95" customHeight="1" thickBot="1">
      <c r="A237" s="649"/>
      <c r="B237" s="705" t="s">
        <v>3258</v>
      </c>
      <c r="C237" s="706" t="s">
        <v>3259</v>
      </c>
      <c r="D237" s="642">
        <f>+'SP Pas Alim'!F47</f>
        <v>959354.73000013828</v>
      </c>
      <c r="E237" s="642">
        <f>+'SP Pas Alim'!G47</f>
        <v>2874961.4699999094</v>
      </c>
      <c r="F237" s="625"/>
      <c r="G237" s="643"/>
      <c r="J237" s="628"/>
      <c r="K237" s="627"/>
    </row>
    <row r="238" spans="1:11" s="644" customFormat="1" ht="24.95" customHeight="1">
      <c r="A238" s="621"/>
      <c r="B238" s="622" t="s">
        <v>3260</v>
      </c>
      <c r="C238" s="623" t="s">
        <v>3261</v>
      </c>
      <c r="D238" s="656">
        <f>+D239+D240+D248+D257+D263</f>
        <v>88649679.379999995</v>
      </c>
      <c r="E238" s="656">
        <f>+E239+E240+E248+E257+E263</f>
        <v>72214520.24000001</v>
      </c>
      <c r="F238" s="625"/>
      <c r="G238" s="643"/>
      <c r="J238" s="628"/>
      <c r="K238" s="627"/>
    </row>
    <row r="239" spans="1:11" s="644" customFormat="1" ht="24.95" customHeight="1">
      <c r="A239" s="639"/>
      <c r="B239" s="703" t="s">
        <v>3262</v>
      </c>
      <c r="C239" s="704" t="s">
        <v>3263</v>
      </c>
      <c r="D239" s="642">
        <f>+'SP Pas Alim'!F50</f>
        <v>0</v>
      </c>
      <c r="E239" s="642">
        <f>+'SP Pas Alim'!G50</f>
        <v>0</v>
      </c>
      <c r="F239" s="625"/>
      <c r="G239" s="643"/>
      <c r="J239" s="628"/>
      <c r="K239" s="627"/>
    </row>
    <row r="240" spans="1:11" s="644" customFormat="1" ht="24.95" customHeight="1">
      <c r="A240" s="629"/>
      <c r="B240" s="630" t="s">
        <v>3264</v>
      </c>
      <c r="C240" s="631" t="s">
        <v>3265</v>
      </c>
      <c r="D240" s="632">
        <f>SUM(D241:D247)</f>
        <v>47327220.770000003</v>
      </c>
      <c r="E240" s="632">
        <f>SUM(E241:E247)</f>
        <v>50103982.149999999</v>
      </c>
      <c r="F240" s="625"/>
      <c r="G240" s="643"/>
      <c r="J240" s="628"/>
      <c r="K240" s="627"/>
    </row>
    <row r="241" spans="1:11" s="644" customFormat="1" ht="24.95" customHeight="1">
      <c r="A241" s="639"/>
      <c r="B241" s="646" t="s">
        <v>3266</v>
      </c>
      <c r="C241" s="647" t="s">
        <v>3267</v>
      </c>
      <c r="D241" s="642">
        <f>+'SP Pas Alim'!F53</f>
        <v>97531.72</v>
      </c>
      <c r="E241" s="642">
        <f>+'SP Pas Alim'!G53</f>
        <v>92391</v>
      </c>
      <c r="F241" s="625"/>
      <c r="G241" s="643"/>
      <c r="J241" s="628"/>
      <c r="K241" s="627"/>
    </row>
    <row r="242" spans="1:11" s="644" customFormat="1" ht="24.95" customHeight="1">
      <c r="A242" s="639"/>
      <c r="B242" s="646" t="s">
        <v>3268</v>
      </c>
      <c r="C242" s="647" t="s">
        <v>3269</v>
      </c>
      <c r="D242" s="642">
        <f>+'SP Pas Alim'!F55</f>
        <v>0</v>
      </c>
      <c r="E242" s="642">
        <f>+'SP Pas Alim'!G55</f>
        <v>0</v>
      </c>
      <c r="F242" s="625"/>
      <c r="G242" s="643"/>
      <c r="J242" s="628"/>
      <c r="K242" s="627"/>
    </row>
    <row r="243" spans="1:11" s="644" customFormat="1" ht="24.95" customHeight="1">
      <c r="A243" s="639"/>
      <c r="B243" s="646" t="s">
        <v>3270</v>
      </c>
      <c r="C243" s="647" t="s">
        <v>3271</v>
      </c>
      <c r="D243" s="642">
        <f>+'SP Pas Alim'!F57</f>
        <v>0</v>
      </c>
      <c r="E243" s="642">
        <f>+'SP Pas Alim'!G57</f>
        <v>0</v>
      </c>
      <c r="F243" s="625"/>
      <c r="G243" s="643"/>
      <c r="J243" s="628"/>
      <c r="K243" s="627"/>
    </row>
    <row r="244" spans="1:11" s="644" customFormat="1" ht="24.95" customHeight="1">
      <c r="A244" s="639"/>
      <c r="B244" s="646" t="s">
        <v>3272</v>
      </c>
      <c r="C244" s="647" t="s">
        <v>3273</v>
      </c>
      <c r="D244" s="642">
        <f>+'SP Pas Alim'!F59</f>
        <v>0</v>
      </c>
      <c r="E244" s="642">
        <f>+'SP Pas Alim'!G59</f>
        <v>0</v>
      </c>
      <c r="F244" s="625"/>
      <c r="G244" s="643"/>
      <c r="J244" s="628"/>
      <c r="K244" s="627"/>
    </row>
    <row r="245" spans="1:11" s="644" customFormat="1" ht="24.95" customHeight="1">
      <c r="A245" s="639"/>
      <c r="B245" s="707" t="s">
        <v>3274</v>
      </c>
      <c r="C245" s="708" t="s">
        <v>3275</v>
      </c>
      <c r="D245" s="642">
        <f>+'SP Pas Alim'!F61</f>
        <v>46299630.600000001</v>
      </c>
      <c r="E245" s="642">
        <f>+'SP Pas Alim'!G61</f>
        <v>48835650.82</v>
      </c>
      <c r="F245" s="625"/>
      <c r="G245" s="643"/>
      <c r="J245" s="628"/>
      <c r="K245" s="627"/>
    </row>
    <row r="246" spans="1:11" s="644" customFormat="1" ht="24.95" customHeight="1">
      <c r="A246" s="639"/>
      <c r="B246" s="707" t="s">
        <v>3276</v>
      </c>
      <c r="C246" s="708" t="s">
        <v>3277</v>
      </c>
      <c r="D246" s="642">
        <f>+'SP Pas Alim'!F63</f>
        <v>930058.45</v>
      </c>
      <c r="E246" s="642">
        <f>+'SP Pas Alim'!G63</f>
        <v>1175940.33</v>
      </c>
      <c r="F246" s="625"/>
      <c r="G246" s="643"/>
      <c r="J246" s="628"/>
      <c r="K246" s="627"/>
    </row>
    <row r="247" spans="1:11" s="644" customFormat="1" ht="24.95" customHeight="1">
      <c r="A247" s="639"/>
      <c r="B247" s="707" t="s">
        <v>3278</v>
      </c>
      <c r="C247" s="708" t="s">
        <v>3279</v>
      </c>
      <c r="D247" s="642">
        <f>+'SP Pas Alim'!F65+'SP Pas Alim'!F66+'SP Pas Alim'!F67</f>
        <v>0</v>
      </c>
      <c r="E247" s="642">
        <f>+'SP Pas Alim'!G65+'SP Pas Alim'!G66+'SP Pas Alim'!G67</f>
        <v>0</v>
      </c>
      <c r="F247" s="625"/>
      <c r="G247" s="643"/>
      <c r="J247" s="628"/>
      <c r="K247" s="627"/>
    </row>
    <row r="248" spans="1:11" s="644" customFormat="1" ht="24.95" customHeight="1">
      <c r="A248" s="629"/>
      <c r="B248" s="630" t="s">
        <v>3280</v>
      </c>
      <c r="C248" s="631" t="s">
        <v>3281</v>
      </c>
      <c r="D248" s="632">
        <f>SUM(D249:D256)</f>
        <v>0</v>
      </c>
      <c r="E248" s="632">
        <f>SUM(E249:E256)</f>
        <v>0</v>
      </c>
      <c r="F248" s="625"/>
      <c r="G248" s="643"/>
      <c r="J248" s="628"/>
      <c r="K248" s="627"/>
    </row>
    <row r="249" spans="1:11" s="644" customFormat="1" ht="24.95" customHeight="1">
      <c r="A249" s="639"/>
      <c r="B249" s="646" t="s">
        <v>3282</v>
      </c>
      <c r="C249" s="647" t="s">
        <v>3283</v>
      </c>
      <c r="D249" s="642">
        <f>+'SP Pas Alim'!F70</f>
        <v>0</v>
      </c>
      <c r="E249" s="642">
        <f>+'SP Pas Alim'!G70</f>
        <v>0</v>
      </c>
      <c r="F249" s="625"/>
      <c r="G249" s="643"/>
      <c r="J249" s="628"/>
      <c r="K249" s="627"/>
    </row>
    <row r="250" spans="1:11" s="644" customFormat="1" ht="24.95" customHeight="1">
      <c r="A250" s="639"/>
      <c r="B250" s="646" t="s">
        <v>3284</v>
      </c>
      <c r="C250" s="647" t="s">
        <v>3285</v>
      </c>
      <c r="D250" s="642">
        <f>+'SP Pas Alim'!F72</f>
        <v>0</v>
      </c>
      <c r="E250" s="642">
        <f>+'SP Pas Alim'!G72</f>
        <v>0</v>
      </c>
      <c r="F250" s="625"/>
      <c r="G250" s="643"/>
      <c r="J250" s="628"/>
      <c r="K250" s="627"/>
    </row>
    <row r="251" spans="1:11" s="644" customFormat="1" ht="24.95" customHeight="1">
      <c r="A251" s="639"/>
      <c r="B251" s="646" t="s">
        <v>3286</v>
      </c>
      <c r="C251" s="647" t="s">
        <v>3287</v>
      </c>
      <c r="D251" s="642">
        <f>+'SP Pas Alim'!F74</f>
        <v>0</v>
      </c>
      <c r="E251" s="642">
        <f>+'SP Pas Alim'!G74</f>
        <v>0</v>
      </c>
      <c r="F251" s="625"/>
      <c r="G251" s="643"/>
      <c r="J251" s="628"/>
      <c r="K251" s="627"/>
    </row>
    <row r="252" spans="1:11" s="644" customFormat="1" ht="24.95" customHeight="1">
      <c r="A252" s="639"/>
      <c r="B252" s="646" t="s">
        <v>3288</v>
      </c>
      <c r="C252" s="647" t="s">
        <v>3289</v>
      </c>
      <c r="D252" s="642">
        <f>+'SP Pas Alim'!F76</f>
        <v>0</v>
      </c>
      <c r="E252" s="642">
        <f>+'SP Pas Alim'!G76</f>
        <v>0</v>
      </c>
      <c r="F252" s="625"/>
      <c r="G252" s="643"/>
      <c r="J252" s="628"/>
      <c r="K252" s="627"/>
    </row>
    <row r="253" spans="1:11" s="644" customFormat="1" ht="24.95" customHeight="1">
      <c r="A253" s="639"/>
      <c r="B253" s="646" t="s">
        <v>3290</v>
      </c>
      <c r="C253" s="647" t="s">
        <v>3291</v>
      </c>
      <c r="D253" s="642">
        <f>+'SP Pas Alim'!F78</f>
        <v>0</v>
      </c>
      <c r="E253" s="642">
        <f>+'SP Pas Alim'!G78</f>
        <v>0</v>
      </c>
      <c r="F253" s="625"/>
      <c r="G253" s="643"/>
      <c r="J253" s="628"/>
      <c r="K253" s="627"/>
    </row>
    <row r="254" spans="1:11" s="644" customFormat="1" ht="24.95" customHeight="1">
      <c r="A254" s="639"/>
      <c r="B254" s="646" t="s">
        <v>3292</v>
      </c>
      <c r="C254" s="647" t="s">
        <v>3293</v>
      </c>
      <c r="D254" s="642">
        <f>+'SP Pas Alim'!F80</f>
        <v>0</v>
      </c>
      <c r="E254" s="642">
        <f>+'SP Pas Alim'!G80</f>
        <v>0</v>
      </c>
      <c r="F254" s="625"/>
      <c r="G254" s="643"/>
      <c r="J254" s="628"/>
      <c r="K254" s="627"/>
    </row>
    <row r="255" spans="1:11" s="644" customFormat="1" ht="24.95" customHeight="1">
      <c r="A255" s="639"/>
      <c r="B255" s="646" t="s">
        <v>3294</v>
      </c>
      <c r="C255" s="647" t="s">
        <v>3295</v>
      </c>
      <c r="D255" s="642">
        <f>+'SP Pas Alim'!F82</f>
        <v>0</v>
      </c>
      <c r="E255" s="642">
        <f>+'SP Pas Alim'!G82</f>
        <v>0</v>
      </c>
      <c r="F255" s="625"/>
      <c r="G255" s="643"/>
      <c r="J255" s="628"/>
      <c r="K255" s="627"/>
    </row>
    <row r="256" spans="1:11" s="644" customFormat="1" ht="33.75" customHeight="1">
      <c r="A256" s="639"/>
      <c r="B256" s="709" t="s">
        <v>3296</v>
      </c>
      <c r="C256" s="710" t="s">
        <v>3297</v>
      </c>
      <c r="D256" s="642">
        <f>+'SP Pas Alim'!F84</f>
        <v>0</v>
      </c>
      <c r="E256" s="642">
        <f>+'SP Pas Alim'!G84</f>
        <v>0</v>
      </c>
      <c r="F256" s="625"/>
      <c r="G256" s="643"/>
      <c r="J256" s="628"/>
      <c r="K256" s="627"/>
    </row>
    <row r="257" spans="1:11" s="644" customFormat="1" ht="24.95" customHeight="1">
      <c r="A257" s="629"/>
      <c r="B257" s="630" t="s">
        <v>3298</v>
      </c>
      <c r="C257" s="631" t="s">
        <v>3299</v>
      </c>
      <c r="D257" s="632">
        <f>SUM(D258:D262)</f>
        <v>38325656.149999999</v>
      </c>
      <c r="E257" s="632">
        <f>SUM(E258:E262)</f>
        <v>19161980.469999999</v>
      </c>
      <c r="F257" s="625"/>
      <c r="G257" s="643"/>
      <c r="J257" s="628"/>
      <c r="K257" s="627"/>
    </row>
    <row r="258" spans="1:11" s="672" customFormat="1" ht="24.95" customHeight="1">
      <c r="A258" s="639"/>
      <c r="B258" s="707" t="s">
        <v>3300</v>
      </c>
      <c r="C258" s="708" t="s">
        <v>3301</v>
      </c>
      <c r="D258" s="642">
        <f>+'SP Pas Alim'!F87</f>
        <v>5139033.76</v>
      </c>
      <c r="E258" s="642">
        <f>+'SP Pas Alim'!G87</f>
        <v>16003531.369999999</v>
      </c>
      <c r="F258" s="625"/>
      <c r="G258" s="643"/>
      <c r="J258" s="628"/>
      <c r="K258" s="627"/>
    </row>
    <row r="259" spans="1:11" s="644" customFormat="1" ht="24.95" customHeight="1">
      <c r="A259" s="639"/>
      <c r="B259" s="646" t="s">
        <v>3302</v>
      </c>
      <c r="C259" s="647" t="s">
        <v>3303</v>
      </c>
      <c r="D259" s="642">
        <f>+'SP Pas Alim'!F89</f>
        <v>0</v>
      </c>
      <c r="E259" s="642">
        <f>+'SP Pas Alim'!G89</f>
        <v>0</v>
      </c>
      <c r="F259" s="625"/>
      <c r="G259" s="643"/>
      <c r="J259" s="628"/>
      <c r="K259" s="627"/>
    </row>
    <row r="260" spans="1:11" s="644" customFormat="1" ht="24.95" customHeight="1">
      <c r="A260" s="639"/>
      <c r="B260" s="646" t="s">
        <v>3304</v>
      </c>
      <c r="C260" s="647" t="s">
        <v>3305</v>
      </c>
      <c r="D260" s="642">
        <f>+'SP Pas Alim'!F91</f>
        <v>32897080.34</v>
      </c>
      <c r="E260" s="642">
        <f>+'SP Pas Alim'!G91</f>
        <v>2975475.63</v>
      </c>
      <c r="F260" s="625"/>
      <c r="G260" s="643"/>
      <c r="J260" s="628"/>
      <c r="K260" s="627"/>
    </row>
    <row r="261" spans="1:11" s="644" customFormat="1" ht="24.95" customHeight="1">
      <c r="A261" s="639"/>
      <c r="B261" s="646" t="s">
        <v>3306</v>
      </c>
      <c r="C261" s="647" t="s">
        <v>3307</v>
      </c>
      <c r="D261" s="642">
        <f>+'SP Pas Alim'!F93</f>
        <v>0</v>
      </c>
      <c r="E261" s="642">
        <f>+'SP Pas Alim'!G93</f>
        <v>0</v>
      </c>
      <c r="F261" s="625"/>
      <c r="G261" s="643"/>
      <c r="J261" s="628"/>
      <c r="K261" s="627"/>
    </row>
    <row r="262" spans="1:11" s="644" customFormat="1" ht="24.95" customHeight="1">
      <c r="A262" s="639"/>
      <c r="B262" s="646" t="s">
        <v>3308</v>
      </c>
      <c r="C262" s="647" t="s">
        <v>3309</v>
      </c>
      <c r="D262" s="642">
        <f>+'SP Pas Alim'!F95+'SP Pas Alim'!F96</f>
        <v>289542.05</v>
      </c>
      <c r="E262" s="642">
        <f>+'SP Pas Alim'!G95+'SP Pas Alim'!G96</f>
        <v>182973.47</v>
      </c>
      <c r="F262" s="625"/>
      <c r="G262" s="643"/>
      <c r="J262" s="628"/>
      <c r="K262" s="627"/>
    </row>
    <row r="263" spans="1:11" s="644" customFormat="1" ht="24.95" customHeight="1">
      <c r="A263" s="629"/>
      <c r="B263" s="630" t="s">
        <v>3310</v>
      </c>
      <c r="C263" s="631" t="s">
        <v>3311</v>
      </c>
      <c r="D263" s="632">
        <f>+D264+D265+D269+D270</f>
        <v>2996802.46</v>
      </c>
      <c r="E263" s="632">
        <f>+E264+E265+E269+E270</f>
        <v>2948557.6199999996</v>
      </c>
      <c r="F263" s="625"/>
      <c r="G263" s="643"/>
      <c r="J263" s="628"/>
      <c r="K263" s="627"/>
    </row>
    <row r="264" spans="1:11" s="644" customFormat="1" ht="24.95" customHeight="1">
      <c r="A264" s="639"/>
      <c r="B264" s="646" t="s">
        <v>3312</v>
      </c>
      <c r="C264" s="647" t="s">
        <v>3313</v>
      </c>
      <c r="D264" s="642">
        <f>+'SP Pas Alim'!F99</f>
        <v>0</v>
      </c>
      <c r="E264" s="642">
        <f>+'SP Pas Alim'!G99</f>
        <v>0</v>
      </c>
      <c r="F264" s="625"/>
      <c r="G264" s="643"/>
      <c r="J264" s="628"/>
      <c r="K264" s="627"/>
    </row>
    <row r="265" spans="1:11" s="644" customFormat="1" ht="24.95" customHeight="1">
      <c r="A265" s="645"/>
      <c r="B265" s="635" t="s">
        <v>3314</v>
      </c>
      <c r="C265" s="636" t="s">
        <v>3315</v>
      </c>
      <c r="D265" s="637">
        <f>+D266+D267+D268</f>
        <v>2220738.63</v>
      </c>
      <c r="E265" s="637">
        <f>+E266+E267+E268</f>
        <v>2419994.2799999998</v>
      </c>
      <c r="F265" s="625"/>
      <c r="G265" s="643"/>
      <c r="J265" s="628"/>
      <c r="K265" s="627"/>
    </row>
    <row r="266" spans="1:11" s="644" customFormat="1" ht="24.95" customHeight="1">
      <c r="A266" s="639"/>
      <c r="B266" s="640" t="s">
        <v>3316</v>
      </c>
      <c r="C266" s="641" t="s">
        <v>3317</v>
      </c>
      <c r="D266" s="642">
        <f>+'SP Pas Alim'!F102</f>
        <v>2220738.63</v>
      </c>
      <c r="E266" s="642">
        <f>+'SP Pas Alim'!G102</f>
        <v>2419994.2799999998</v>
      </c>
      <c r="F266" s="625"/>
      <c r="G266" s="643"/>
      <c r="J266" s="628"/>
      <c r="K266" s="627"/>
    </row>
    <row r="267" spans="1:11" s="644" customFormat="1" ht="24.95" customHeight="1">
      <c r="A267" s="639"/>
      <c r="B267" s="640" t="s">
        <v>3318</v>
      </c>
      <c r="C267" s="641" t="s">
        <v>3319</v>
      </c>
      <c r="D267" s="642">
        <f>+'SP Pas Alim'!F104</f>
        <v>0</v>
      </c>
      <c r="E267" s="642">
        <f>+'SP Pas Alim'!G104</f>
        <v>0</v>
      </c>
      <c r="F267" s="625"/>
      <c r="G267" s="643"/>
      <c r="J267" s="628"/>
      <c r="K267" s="627"/>
    </row>
    <row r="268" spans="1:11" s="644" customFormat="1" ht="24.95" customHeight="1">
      <c r="A268" s="639"/>
      <c r="B268" s="640" t="s">
        <v>3320</v>
      </c>
      <c r="C268" s="641" t="s">
        <v>3321</v>
      </c>
      <c r="D268" s="642">
        <f>+'SP Pas Alim'!F106</f>
        <v>0</v>
      </c>
      <c r="E268" s="642">
        <f>+'SP Pas Alim'!G106</f>
        <v>0</v>
      </c>
      <c r="F268" s="625"/>
      <c r="G268" s="643"/>
      <c r="J268" s="628"/>
      <c r="K268" s="627"/>
    </row>
    <row r="269" spans="1:11" s="644" customFormat="1" ht="24.95" customHeight="1">
      <c r="A269" s="700"/>
      <c r="B269" s="711" t="s">
        <v>3322</v>
      </c>
      <c r="C269" s="712" t="s">
        <v>3323</v>
      </c>
      <c r="D269" s="642">
        <f>+'SP Pas Alim'!F108+'SP Pas Alim'!F109</f>
        <v>525113.68999999994</v>
      </c>
      <c r="E269" s="642">
        <f>+'SP Pas Alim'!G108+'SP Pas Alim'!G109</f>
        <v>525113.68999999994</v>
      </c>
      <c r="F269" s="625"/>
      <c r="G269" s="643"/>
      <c r="J269" s="628"/>
      <c r="K269" s="627"/>
    </row>
    <row r="270" spans="1:11" s="672" customFormat="1" ht="24.95" customHeight="1">
      <c r="A270" s="713"/>
      <c r="B270" s="714" t="s">
        <v>3324</v>
      </c>
      <c r="C270" s="715" t="s">
        <v>3325</v>
      </c>
      <c r="D270" s="642">
        <f>+'SP Pas Alim'!F111</f>
        <v>250950.14</v>
      </c>
      <c r="E270" s="642">
        <f>+'SP Pas Alim'!G111</f>
        <v>3449.65</v>
      </c>
      <c r="F270" s="625"/>
      <c r="G270" s="643"/>
      <c r="J270" s="628"/>
      <c r="K270" s="627"/>
    </row>
    <row r="271" spans="1:11" s="644" customFormat="1" ht="24.95" customHeight="1">
      <c r="A271" s="621"/>
      <c r="B271" s="716" t="s">
        <v>3326</v>
      </c>
      <c r="C271" s="696" t="s">
        <v>3327</v>
      </c>
      <c r="D271" s="697">
        <f>+D272+D273+D274</f>
        <v>0</v>
      </c>
      <c r="E271" s="697">
        <f>+E272+E273+E274</f>
        <v>0</v>
      </c>
      <c r="F271" s="625"/>
      <c r="G271" s="643"/>
      <c r="J271" s="628"/>
      <c r="K271" s="627"/>
    </row>
    <row r="272" spans="1:11" s="644" customFormat="1" ht="24.95" customHeight="1">
      <c r="A272" s="639"/>
      <c r="B272" s="703" t="s">
        <v>3328</v>
      </c>
      <c r="C272" s="704" t="s">
        <v>3329</v>
      </c>
      <c r="D272" s="642">
        <f>+'SP Pas Alim'!F114</f>
        <v>0</v>
      </c>
      <c r="E272" s="642">
        <f>+'SP Pas Alim'!G114</f>
        <v>0</v>
      </c>
      <c r="F272" s="625"/>
      <c r="G272" s="643"/>
      <c r="J272" s="628"/>
      <c r="K272" s="627"/>
    </row>
    <row r="273" spans="1:11" s="644" customFormat="1" ht="24.95" customHeight="1">
      <c r="A273" s="639"/>
      <c r="B273" s="703" t="s">
        <v>3330</v>
      </c>
      <c r="C273" s="704" t="s">
        <v>3331</v>
      </c>
      <c r="D273" s="642">
        <f>+'SP Pas Alim'!F116</f>
        <v>0</v>
      </c>
      <c r="E273" s="642">
        <f>+'SP Pas Alim'!G116</f>
        <v>0</v>
      </c>
      <c r="F273" s="625"/>
      <c r="G273" s="643"/>
      <c r="J273" s="628"/>
      <c r="K273" s="627"/>
    </row>
    <row r="274" spans="1:11" s="644" customFormat="1" ht="24.95" customHeight="1" thickBot="1">
      <c r="A274" s="649"/>
      <c r="B274" s="705" t="s">
        <v>3332</v>
      </c>
      <c r="C274" s="706" t="s">
        <v>3333</v>
      </c>
      <c r="D274" s="642">
        <f>+'SP Pas Alim'!F118</f>
        <v>0</v>
      </c>
      <c r="E274" s="642">
        <f>+'SP Pas Alim'!G118</f>
        <v>0</v>
      </c>
      <c r="F274" s="625"/>
      <c r="G274" s="643"/>
      <c r="J274" s="628"/>
      <c r="K274" s="627"/>
    </row>
    <row r="275" spans="1:11" s="644" customFormat="1" ht="24.95" customHeight="1">
      <c r="A275" s="717"/>
      <c r="B275" s="718" t="s">
        <v>3334</v>
      </c>
      <c r="C275" s="623" t="s">
        <v>3335</v>
      </c>
      <c r="D275" s="656">
        <f>+D276+D277+D283+D294+D295+D313+D317+D324+D325+D326+D327</f>
        <v>134887288.16</v>
      </c>
      <c r="E275" s="656">
        <f>+E276+E277+E283+E294+E295+E313+E317+E324+E325+E326+E327</f>
        <v>170147266.63359997</v>
      </c>
      <c r="F275" s="625"/>
      <c r="G275" s="643"/>
      <c r="J275" s="628"/>
      <c r="K275" s="627"/>
    </row>
    <row r="276" spans="1:11" s="644" customFormat="1" ht="24.95" customHeight="1">
      <c r="A276" s="639"/>
      <c r="B276" s="703" t="s">
        <v>3336</v>
      </c>
      <c r="C276" s="704" t="s">
        <v>3337</v>
      </c>
      <c r="D276" s="642">
        <f>+'SP Pas Alim'!F121</f>
        <v>0</v>
      </c>
      <c r="E276" s="642">
        <f>+'SP Pas Alim'!G121</f>
        <v>0</v>
      </c>
      <c r="F276" s="625"/>
      <c r="G276" s="643"/>
      <c r="J276" s="628"/>
      <c r="K276" s="627"/>
    </row>
    <row r="277" spans="1:11" s="644" customFormat="1" ht="24.95" customHeight="1">
      <c r="A277" s="639"/>
      <c r="B277" s="703" t="s">
        <v>3338</v>
      </c>
      <c r="C277" s="704" t="s">
        <v>3339</v>
      </c>
      <c r="D277" s="642">
        <f>SUM(D278:D282)</f>
        <v>7746.84</v>
      </c>
      <c r="E277" s="642">
        <f>SUM(E278:E282)</f>
        <v>7746.84</v>
      </c>
      <c r="F277" s="764" t="s">
        <v>1835</v>
      </c>
      <c r="G277" s="643"/>
      <c r="J277" s="628"/>
      <c r="K277" s="627"/>
    </row>
    <row r="278" spans="1:11" s="644" customFormat="1" ht="24.95" customHeight="1">
      <c r="A278" s="719" t="s">
        <v>1293</v>
      </c>
      <c r="B278" s="707" t="s">
        <v>3340</v>
      </c>
      <c r="C278" s="708" t="s">
        <v>3341</v>
      </c>
      <c r="D278" s="642">
        <f>+'SP Pas Alim'!F124</f>
        <v>0</v>
      </c>
      <c r="E278" s="642">
        <f>+'SP Pas Alim'!G124</f>
        <v>0</v>
      </c>
      <c r="F278" s="625"/>
      <c r="G278" s="643"/>
      <c r="J278" s="628"/>
      <c r="K278" s="627"/>
    </row>
    <row r="279" spans="1:11" s="644" customFormat="1" ht="24.95" customHeight="1">
      <c r="A279" s="719"/>
      <c r="B279" s="707" t="s">
        <v>3342</v>
      </c>
      <c r="C279" s="708" t="s">
        <v>3343</v>
      </c>
      <c r="D279" s="642">
        <f>+'SP Pas Alim'!F126</f>
        <v>0</v>
      </c>
      <c r="E279" s="642">
        <f>+'SP Pas Alim'!G126</f>
        <v>0</v>
      </c>
      <c r="F279" s="625"/>
      <c r="G279" s="643"/>
      <c r="J279" s="628"/>
      <c r="K279" s="627"/>
    </row>
    <row r="280" spans="1:11" s="644" customFormat="1" ht="24.95" customHeight="1">
      <c r="A280" s="689" t="s">
        <v>1297</v>
      </c>
      <c r="B280" s="707" t="s">
        <v>3344</v>
      </c>
      <c r="C280" s="708" t="s">
        <v>3345</v>
      </c>
      <c r="D280" s="642">
        <f>+'SP Pas Alim'!F128</f>
        <v>0</v>
      </c>
      <c r="E280" s="642">
        <f>+'SP Pas Alim'!G128</f>
        <v>0</v>
      </c>
      <c r="F280" s="625"/>
      <c r="G280" s="643"/>
      <c r="J280" s="628"/>
      <c r="K280" s="627"/>
    </row>
    <row r="281" spans="1:11" s="644" customFormat="1" ht="24.95" customHeight="1">
      <c r="A281" s="689" t="s">
        <v>1297</v>
      </c>
      <c r="B281" s="707" t="s">
        <v>3346</v>
      </c>
      <c r="C281" s="708" t="s">
        <v>3347</v>
      </c>
      <c r="D281" s="642">
        <f>+'SP Pas Alim'!F130</f>
        <v>0</v>
      </c>
      <c r="E281" s="642">
        <f>+'SP Pas Alim'!G130</f>
        <v>0</v>
      </c>
      <c r="F281" s="625"/>
      <c r="G281" s="643"/>
      <c r="J281" s="628"/>
      <c r="K281" s="627"/>
    </row>
    <row r="282" spans="1:11" s="644" customFormat="1" ht="24.95" customHeight="1">
      <c r="A282" s="689" t="s">
        <v>1297</v>
      </c>
      <c r="B282" s="707" t="s">
        <v>3348</v>
      </c>
      <c r="C282" s="708" t="s">
        <v>3349</v>
      </c>
      <c r="D282" s="642">
        <f>+'SP Pas Alim'!F132+'SP Pas Alim'!F133+'SP Pas Alim'!F134+'SP Pas Alim'!F135</f>
        <v>7746.84</v>
      </c>
      <c r="E282" s="642">
        <f>+'SP Pas Alim'!G132+'SP Pas Alim'!G133+'SP Pas Alim'!G134+'SP Pas Alim'!G135</f>
        <v>7746.84</v>
      </c>
      <c r="F282" s="625"/>
      <c r="G282" s="643"/>
      <c r="J282" s="628"/>
      <c r="K282" s="627"/>
    </row>
    <row r="283" spans="1:11" s="644" customFormat="1" ht="24.95" customHeight="1">
      <c r="A283" s="639"/>
      <c r="B283" s="703" t="s">
        <v>3350</v>
      </c>
      <c r="C283" s="704" t="s">
        <v>3351</v>
      </c>
      <c r="D283" s="642">
        <f>SUM(D284:D293)</f>
        <v>2020052.41</v>
      </c>
      <c r="E283" s="642">
        <f>SUM(E284:E293)</f>
        <v>2020588.41</v>
      </c>
      <c r="F283" s="764" t="s">
        <v>1835</v>
      </c>
      <c r="G283" s="643"/>
      <c r="J283" s="628"/>
      <c r="K283" s="627"/>
    </row>
    <row r="284" spans="1:11" s="672" customFormat="1" ht="24.95" customHeight="1">
      <c r="A284" s="689" t="s">
        <v>3077</v>
      </c>
      <c r="B284" s="646" t="s">
        <v>3352</v>
      </c>
      <c r="C284" s="647" t="s">
        <v>3353</v>
      </c>
      <c r="D284" s="642">
        <f>+'SP Pas Alim'!F138</f>
        <v>0</v>
      </c>
      <c r="E284" s="642">
        <f>+'SP Pas Alim'!G138</f>
        <v>0</v>
      </c>
      <c r="F284" s="625"/>
      <c r="G284" s="643"/>
      <c r="J284" s="628"/>
      <c r="K284" s="627"/>
    </row>
    <row r="285" spans="1:11" s="672" customFormat="1" ht="24.95" customHeight="1">
      <c r="A285" s="689"/>
      <c r="B285" s="646" t="s">
        <v>3354</v>
      </c>
      <c r="C285" s="647" t="s">
        <v>3355</v>
      </c>
      <c r="D285" s="642">
        <f>+'SP Pas Alim'!F140</f>
        <v>0</v>
      </c>
      <c r="E285" s="642">
        <f>+'SP Pas Alim'!G140</f>
        <v>0</v>
      </c>
      <c r="F285" s="625"/>
      <c r="G285" s="643"/>
      <c r="J285" s="628"/>
      <c r="K285" s="627"/>
    </row>
    <row r="286" spans="1:11" s="644" customFormat="1" ht="24.95" customHeight="1">
      <c r="A286" s="689" t="s">
        <v>1248</v>
      </c>
      <c r="B286" s="646" t="s">
        <v>3356</v>
      </c>
      <c r="C286" s="647" t="s">
        <v>3357</v>
      </c>
      <c r="D286" s="642">
        <f>+'SP Pas Alim'!F142</f>
        <v>0</v>
      </c>
      <c r="E286" s="642">
        <f>+'SP Pas Alim'!G142</f>
        <v>0</v>
      </c>
      <c r="F286" s="625"/>
      <c r="G286" s="643"/>
      <c r="J286" s="628"/>
      <c r="K286" s="627"/>
    </row>
    <row r="287" spans="1:11" s="644" customFormat="1" ht="24.95" customHeight="1">
      <c r="A287" s="719" t="s">
        <v>3077</v>
      </c>
      <c r="B287" s="707" t="s">
        <v>3358</v>
      </c>
      <c r="C287" s="708" t="s">
        <v>3359</v>
      </c>
      <c r="D287" s="642">
        <f>+'SP Pas Alim'!F144</f>
        <v>0</v>
      </c>
      <c r="E287" s="642">
        <f>+'SP Pas Alim'!G144</f>
        <v>0</v>
      </c>
      <c r="F287" s="625"/>
      <c r="G287" s="643"/>
      <c r="J287" s="628"/>
      <c r="K287" s="627"/>
    </row>
    <row r="288" spans="1:11" s="672" customFormat="1" ht="24.95" customHeight="1">
      <c r="A288" s="669" t="s">
        <v>3077</v>
      </c>
      <c r="B288" s="720" t="s">
        <v>3360</v>
      </c>
      <c r="C288" s="721" t="s">
        <v>3361</v>
      </c>
      <c r="D288" s="642">
        <f>+'SP Pas Alim'!F146</f>
        <v>0</v>
      </c>
      <c r="E288" s="642">
        <f>+'SP Pas Alim'!G146</f>
        <v>0</v>
      </c>
      <c r="F288" s="625"/>
      <c r="G288" s="643"/>
      <c r="J288" s="628"/>
      <c r="K288" s="627"/>
    </row>
    <row r="289" spans="1:11" s="644" customFormat="1" ht="24.95" customHeight="1">
      <c r="A289" s="669" t="s">
        <v>3077</v>
      </c>
      <c r="B289" s="720" t="s">
        <v>3362</v>
      </c>
      <c r="C289" s="721" t="s">
        <v>3363</v>
      </c>
      <c r="D289" s="642">
        <f>+'SP Pas Alim'!F148</f>
        <v>0</v>
      </c>
      <c r="E289" s="642">
        <f>+'SP Pas Alim'!G148</f>
        <v>0</v>
      </c>
      <c r="F289" s="625"/>
      <c r="G289" s="643"/>
      <c r="J289" s="628"/>
      <c r="K289" s="627"/>
    </row>
    <row r="290" spans="1:11" s="644" customFormat="1" ht="24.95" customHeight="1">
      <c r="A290" s="669" t="s">
        <v>3077</v>
      </c>
      <c r="B290" s="720" t="s">
        <v>3364</v>
      </c>
      <c r="C290" s="721" t="s">
        <v>3365</v>
      </c>
      <c r="D290" s="642">
        <f>+'SP Pas Alim'!F150</f>
        <v>0</v>
      </c>
      <c r="E290" s="642">
        <f>+'SP Pas Alim'!G150</f>
        <v>0</v>
      </c>
      <c r="F290" s="625"/>
      <c r="G290" s="643"/>
      <c r="J290" s="628"/>
      <c r="K290" s="627"/>
    </row>
    <row r="291" spans="1:11" s="644" customFormat="1" ht="24.95" customHeight="1">
      <c r="A291" s="722"/>
      <c r="B291" s="723" t="s">
        <v>3366</v>
      </c>
      <c r="C291" s="724" t="s">
        <v>3367</v>
      </c>
      <c r="D291" s="642">
        <f>+'SP Pas Alim'!F152</f>
        <v>0</v>
      </c>
      <c r="E291" s="642">
        <f>+'SP Pas Alim'!G152</f>
        <v>0</v>
      </c>
      <c r="F291" s="625"/>
      <c r="G291" s="643"/>
      <c r="J291" s="628"/>
      <c r="K291" s="627"/>
    </row>
    <row r="292" spans="1:11" s="672" customFormat="1" ht="24.95" customHeight="1">
      <c r="A292" s="725" t="s">
        <v>3077</v>
      </c>
      <c r="B292" s="720" t="s">
        <v>3368</v>
      </c>
      <c r="C292" s="721" t="s">
        <v>3369</v>
      </c>
      <c r="D292" s="642">
        <f>+'SP Pas Alim'!F154</f>
        <v>0</v>
      </c>
      <c r="E292" s="642">
        <f>+'SP Pas Alim'!G154</f>
        <v>0</v>
      </c>
      <c r="F292" s="625"/>
      <c r="G292" s="643"/>
      <c r="J292" s="628"/>
      <c r="K292" s="627"/>
    </row>
    <row r="293" spans="1:11" s="672" customFormat="1" ht="24.95" customHeight="1">
      <c r="A293" s="725"/>
      <c r="B293" s="720" t="s">
        <v>3370</v>
      </c>
      <c r="C293" s="721" t="s">
        <v>3371</v>
      </c>
      <c r="D293" s="642">
        <f>+'SP Pas Alim'!F156+'SP Pas Alim'!F157+'SP Pas Alim'!F158+'SP Pas Alim'!F159+'SP Pas Alim'!F160</f>
        <v>2020052.41</v>
      </c>
      <c r="E293" s="642">
        <f>+'SP Pas Alim'!G156+'SP Pas Alim'!G157+'SP Pas Alim'!G158+'SP Pas Alim'!G159+'SP Pas Alim'!G160</f>
        <v>2020588.41</v>
      </c>
      <c r="F293" s="625"/>
      <c r="G293" s="643"/>
      <c r="J293" s="628"/>
      <c r="K293" s="627"/>
    </row>
    <row r="294" spans="1:11" s="644" customFormat="1" ht="24.95" customHeight="1">
      <c r="A294" s="639"/>
      <c r="B294" s="703" t="s">
        <v>3372</v>
      </c>
      <c r="C294" s="704" t="s">
        <v>3373</v>
      </c>
      <c r="D294" s="642">
        <f>+'SP Pas Alim'!F162+'SP Pas Alim'!F163+'SP Pas Alim'!F164+'SP Pas Alim'!F165</f>
        <v>0</v>
      </c>
      <c r="E294" s="642">
        <f>+'SP Pas Alim'!G162+'SP Pas Alim'!G163+'SP Pas Alim'!G164+'SP Pas Alim'!G165</f>
        <v>0</v>
      </c>
      <c r="F294" s="625"/>
      <c r="G294" s="643"/>
      <c r="J294" s="628"/>
      <c r="K294" s="627"/>
    </row>
    <row r="295" spans="1:11" s="644" customFormat="1" ht="24.95" customHeight="1">
      <c r="A295" s="639"/>
      <c r="B295" s="703" t="s">
        <v>3374</v>
      </c>
      <c r="C295" s="704" t="s">
        <v>3375</v>
      </c>
      <c r="D295" s="642">
        <f>+D296+D306+D307</f>
        <v>56818258.660000004</v>
      </c>
      <c r="E295" s="642">
        <f>+E296+E306+E307</f>
        <v>71858169.340000004</v>
      </c>
      <c r="F295" s="764" t="s">
        <v>1835</v>
      </c>
      <c r="G295" s="643"/>
      <c r="J295" s="628"/>
      <c r="K295" s="627"/>
    </row>
    <row r="296" spans="1:11" s="644" customFormat="1" ht="24.95" customHeight="1">
      <c r="A296" s="639"/>
      <c r="B296" s="646" t="s">
        <v>3376</v>
      </c>
      <c r="C296" s="647" t="s">
        <v>3377</v>
      </c>
      <c r="D296" s="642">
        <f>SUM(D297:D305)</f>
        <v>56631773.970000006</v>
      </c>
      <c r="E296" s="642">
        <f>SUM(E297:E305)</f>
        <v>71600958.189999998</v>
      </c>
      <c r="F296" s="764" t="s">
        <v>1835</v>
      </c>
      <c r="G296" s="643"/>
      <c r="J296" s="628"/>
      <c r="K296" s="627"/>
    </row>
    <row r="297" spans="1:11" s="644" customFormat="1" ht="24.95" customHeight="1">
      <c r="A297" s="639" t="s">
        <v>3077</v>
      </c>
      <c r="B297" s="640" t="s">
        <v>3378</v>
      </c>
      <c r="C297" s="641" t="s">
        <v>3379</v>
      </c>
      <c r="D297" s="642">
        <f>+'SP Pas Alim'!F169</f>
        <v>0</v>
      </c>
      <c r="E297" s="642">
        <f>+'SP Pas Alim'!G169</f>
        <v>0</v>
      </c>
      <c r="F297" s="625"/>
      <c r="G297" s="643"/>
      <c r="J297" s="628"/>
      <c r="K297" s="627"/>
    </row>
    <row r="298" spans="1:11" s="644" customFormat="1" ht="24.95" customHeight="1">
      <c r="A298" s="639" t="s">
        <v>3077</v>
      </c>
      <c r="B298" s="640" t="s">
        <v>3380</v>
      </c>
      <c r="C298" s="641" t="s">
        <v>3381</v>
      </c>
      <c r="D298" s="642">
        <f>+'SP Pas Alim'!F171</f>
        <v>0</v>
      </c>
      <c r="E298" s="642">
        <f>+'SP Pas Alim'!G171</f>
        <v>0</v>
      </c>
      <c r="F298" s="625"/>
      <c r="G298" s="643"/>
      <c r="J298" s="628"/>
      <c r="K298" s="627"/>
    </row>
    <row r="299" spans="1:11" s="644" customFormat="1" ht="24.95" customHeight="1">
      <c r="A299" s="639" t="s">
        <v>3077</v>
      </c>
      <c r="B299" s="640" t="s">
        <v>3382</v>
      </c>
      <c r="C299" s="641" t="s">
        <v>3383</v>
      </c>
      <c r="D299" s="642">
        <f>+'SP Pas Alim'!F173</f>
        <v>0</v>
      </c>
      <c r="E299" s="642">
        <f>+'SP Pas Alim'!G173</f>
        <v>0</v>
      </c>
      <c r="F299" s="625"/>
      <c r="G299" s="643"/>
      <c r="J299" s="628"/>
      <c r="K299" s="627"/>
    </row>
    <row r="300" spans="1:11" s="644" customFormat="1" ht="24.95" customHeight="1">
      <c r="A300" s="639" t="s">
        <v>1248</v>
      </c>
      <c r="B300" s="640" t="s">
        <v>3384</v>
      </c>
      <c r="C300" s="641" t="s">
        <v>3385</v>
      </c>
      <c r="D300" s="642">
        <f>+'SP Pas Alim'!F175</f>
        <v>0</v>
      </c>
      <c r="E300" s="642">
        <f>+'SP Pas Alim'!G175</f>
        <v>0</v>
      </c>
      <c r="F300" s="625"/>
      <c r="G300" s="643"/>
      <c r="J300" s="628"/>
      <c r="K300" s="627"/>
    </row>
    <row r="301" spans="1:11" s="644" customFormat="1" ht="24.95" customHeight="1">
      <c r="A301" s="657" t="s">
        <v>1248</v>
      </c>
      <c r="B301" s="640" t="s">
        <v>3386</v>
      </c>
      <c r="C301" s="641" t="s">
        <v>3387</v>
      </c>
      <c r="D301" s="642">
        <f>+'SP Pas Alim'!F177+'SP Pas Alim'!F178+'SP Pas Alim'!F179</f>
        <v>0</v>
      </c>
      <c r="E301" s="642">
        <f>+'SP Pas Alim'!G177+'SP Pas Alim'!G178+'SP Pas Alim'!G179</f>
        <v>0</v>
      </c>
      <c r="F301" s="625"/>
      <c r="G301" s="643"/>
      <c r="J301" s="628"/>
      <c r="K301" s="627"/>
    </row>
    <row r="302" spans="1:11" s="644" customFormat="1" ht="24.95" customHeight="1">
      <c r="A302" s="657" t="s">
        <v>1248</v>
      </c>
      <c r="B302" s="640" t="s">
        <v>3388</v>
      </c>
      <c r="C302" s="641" t="s">
        <v>3389</v>
      </c>
      <c r="D302" s="642">
        <f>+'SP Pas Alim'!F182+'SP Pas Alim'!F181+'SP Pas Alim'!F183</f>
        <v>56631773.970000006</v>
      </c>
      <c r="E302" s="642">
        <f>+'SP Pas Alim'!G182+'SP Pas Alim'!G181+'SP Pas Alim'!G183</f>
        <v>71600958.189999998</v>
      </c>
      <c r="F302" s="625"/>
      <c r="G302" s="643"/>
      <c r="J302" s="628"/>
      <c r="K302" s="627"/>
    </row>
    <row r="303" spans="1:11" s="672" customFormat="1" ht="24.95" customHeight="1">
      <c r="A303" s="674" t="s">
        <v>3077</v>
      </c>
      <c r="B303" s="640" t="s">
        <v>3390</v>
      </c>
      <c r="C303" s="675" t="s">
        <v>3391</v>
      </c>
      <c r="D303" s="642">
        <f>+'SP Pas Alim'!F185</f>
        <v>0</v>
      </c>
      <c r="E303" s="642">
        <f>+'SP Pas Alim'!G185</f>
        <v>0</v>
      </c>
      <c r="G303" s="643"/>
      <c r="J303" s="628"/>
      <c r="K303" s="627"/>
    </row>
    <row r="304" spans="1:11" s="644" customFormat="1" ht="24.95" customHeight="1">
      <c r="A304" s="669" t="s">
        <v>1248</v>
      </c>
      <c r="B304" s="640" t="s">
        <v>3392</v>
      </c>
      <c r="C304" s="101" t="s">
        <v>3393</v>
      </c>
      <c r="D304" s="642">
        <f>+'SP Pas Alim'!F187</f>
        <v>0</v>
      </c>
      <c r="E304" s="642">
        <f>+'SP Pas Alim'!G187</f>
        <v>0</v>
      </c>
      <c r="F304" s="625"/>
      <c r="G304" s="643"/>
      <c r="J304" s="628"/>
      <c r="K304" s="627"/>
    </row>
    <row r="305" spans="1:11" s="672" customFormat="1" ht="24.95" customHeight="1">
      <c r="A305" s="676" t="s">
        <v>3077</v>
      </c>
      <c r="B305" s="726" t="s">
        <v>3394</v>
      </c>
      <c r="C305" s="101" t="s">
        <v>3395</v>
      </c>
      <c r="D305" s="642">
        <f>+'SP Pas Alim'!F189</f>
        <v>0</v>
      </c>
      <c r="E305" s="642">
        <f>+'SP Pas Alim'!G189</f>
        <v>0</v>
      </c>
      <c r="G305" s="643"/>
      <c r="J305" s="628"/>
      <c r="K305" s="627"/>
    </row>
    <row r="306" spans="1:11" s="644" customFormat="1" ht="24.95" customHeight="1">
      <c r="A306" s="689" t="s">
        <v>1297</v>
      </c>
      <c r="B306" s="646" t="s">
        <v>3396</v>
      </c>
      <c r="C306" s="647" t="s">
        <v>3397</v>
      </c>
      <c r="D306" s="642">
        <f>+'SP Pas Alim'!F191+'SP Pas Alim'!F192+'SP Pas Alim'!F193</f>
        <v>186484.69</v>
      </c>
      <c r="E306" s="642">
        <f>+'SP Pas Alim'!G191+'SP Pas Alim'!G192+'SP Pas Alim'!G193</f>
        <v>257211.15000000002</v>
      </c>
      <c r="F306" s="625"/>
      <c r="G306" s="643"/>
      <c r="J306" s="628"/>
      <c r="K306" s="627"/>
    </row>
    <row r="307" spans="1:11" s="644" customFormat="1" ht="24.95" customHeight="1">
      <c r="A307" s="657"/>
      <c r="B307" s="646" t="s">
        <v>3398</v>
      </c>
      <c r="C307" s="647" t="s">
        <v>3399</v>
      </c>
      <c r="D307" s="642">
        <f>SUM(D308:D312)</f>
        <v>0</v>
      </c>
      <c r="E307" s="642">
        <f>SUM(E308:E312)</f>
        <v>0</v>
      </c>
      <c r="F307" s="625"/>
      <c r="G307" s="643"/>
      <c r="J307" s="628"/>
      <c r="K307" s="627"/>
    </row>
    <row r="308" spans="1:11" s="644" customFormat="1" ht="24.95" customHeight="1">
      <c r="A308" s="657" t="s">
        <v>3077</v>
      </c>
      <c r="B308" s="658" t="s">
        <v>3400</v>
      </c>
      <c r="C308" s="659" t="s">
        <v>3401</v>
      </c>
      <c r="D308" s="642">
        <f>+'SP Pas Alim'!F196</f>
        <v>0</v>
      </c>
      <c r="E308" s="642">
        <f>+'SP Pas Alim'!G196</f>
        <v>0</v>
      </c>
      <c r="F308" s="625"/>
      <c r="G308" s="643"/>
      <c r="J308" s="628"/>
      <c r="K308" s="627"/>
    </row>
    <row r="309" spans="1:11" s="644" customFormat="1" ht="24.95" customHeight="1">
      <c r="A309" s="657" t="s">
        <v>3077</v>
      </c>
      <c r="B309" s="658" t="s">
        <v>3402</v>
      </c>
      <c r="C309" s="659" t="s">
        <v>3403</v>
      </c>
      <c r="D309" s="642">
        <f>+'SP Pas Alim'!F198</f>
        <v>0</v>
      </c>
      <c r="E309" s="642">
        <f>+'SP Pas Alim'!G198</f>
        <v>0</v>
      </c>
      <c r="F309" s="625"/>
      <c r="G309" s="643"/>
      <c r="J309" s="628"/>
      <c r="K309" s="627"/>
    </row>
    <row r="310" spans="1:11" s="644" customFormat="1" ht="24.95" customHeight="1">
      <c r="A310" s="657" t="s">
        <v>3077</v>
      </c>
      <c r="B310" s="658" t="s">
        <v>3404</v>
      </c>
      <c r="C310" s="659" t="s">
        <v>3405</v>
      </c>
      <c r="D310" s="642">
        <f>+'SP Pas Alim'!F200</f>
        <v>0</v>
      </c>
      <c r="E310" s="642">
        <f>+'SP Pas Alim'!G200</f>
        <v>0</v>
      </c>
      <c r="F310" s="625"/>
      <c r="G310" s="643"/>
      <c r="J310" s="628"/>
      <c r="K310" s="627"/>
    </row>
    <row r="311" spans="1:11" s="644" customFormat="1" ht="24.95" customHeight="1">
      <c r="A311" s="657" t="s">
        <v>3077</v>
      </c>
      <c r="B311" s="658" t="s">
        <v>3406</v>
      </c>
      <c r="C311" s="659" t="s">
        <v>3407</v>
      </c>
      <c r="D311" s="642">
        <f>+'SP Pas Alim'!F202</f>
        <v>0</v>
      </c>
      <c r="E311" s="642">
        <f>+'SP Pas Alim'!G202</f>
        <v>0</v>
      </c>
      <c r="F311" s="625"/>
      <c r="G311" s="643"/>
      <c r="J311" s="628"/>
      <c r="K311" s="627"/>
    </row>
    <row r="312" spans="1:11" s="644" customFormat="1" ht="24.95" customHeight="1">
      <c r="A312" s="657" t="s">
        <v>3077</v>
      </c>
      <c r="B312" s="658" t="s">
        <v>3408</v>
      </c>
      <c r="C312" s="659" t="s">
        <v>3409</v>
      </c>
      <c r="D312" s="642">
        <f>+'SP Pas Alim'!F204</f>
        <v>0</v>
      </c>
      <c r="E312" s="642">
        <f>+'SP Pas Alim'!G204</f>
        <v>0</v>
      </c>
      <c r="F312" s="625"/>
      <c r="G312" s="643"/>
      <c r="J312" s="628"/>
      <c r="K312" s="627"/>
    </row>
    <row r="313" spans="1:11" s="644" customFormat="1" ht="24.95" customHeight="1">
      <c r="A313" s="639"/>
      <c r="B313" s="703" t="s">
        <v>3410</v>
      </c>
      <c r="C313" s="704" t="s">
        <v>3411</v>
      </c>
      <c r="D313" s="642">
        <f>+D314+D315+D316</f>
        <v>0</v>
      </c>
      <c r="E313" s="642">
        <f>+E314+E315+E316</f>
        <v>0</v>
      </c>
      <c r="F313" s="764" t="s">
        <v>1835</v>
      </c>
      <c r="G313" s="643"/>
      <c r="J313" s="628"/>
      <c r="K313" s="627"/>
    </row>
    <row r="314" spans="1:11" s="644" customFormat="1" ht="24.95" customHeight="1">
      <c r="A314" s="639"/>
      <c r="B314" s="646" t="s">
        <v>3412</v>
      </c>
      <c r="C314" s="647" t="s">
        <v>3413</v>
      </c>
      <c r="D314" s="642">
        <f>+'SP Pas Alim'!F207</f>
        <v>0</v>
      </c>
      <c r="E314" s="642">
        <f>+'SP Pas Alim'!G207</f>
        <v>0</v>
      </c>
      <c r="F314" s="625"/>
      <c r="G314" s="643"/>
      <c r="J314" s="628"/>
      <c r="K314" s="627"/>
    </row>
    <row r="315" spans="1:11" s="644" customFormat="1" ht="24.95" customHeight="1">
      <c r="A315" s="639"/>
      <c r="B315" s="646" t="s">
        <v>3414</v>
      </c>
      <c r="C315" s="647" t="s">
        <v>3415</v>
      </c>
      <c r="D315" s="642">
        <f>+'SP Pas Alim'!F209</f>
        <v>0</v>
      </c>
      <c r="E315" s="642">
        <f>+'SP Pas Alim'!G209</f>
        <v>0</v>
      </c>
      <c r="F315" s="625"/>
      <c r="G315" s="643"/>
      <c r="J315" s="628"/>
      <c r="K315" s="627"/>
    </row>
    <row r="316" spans="1:11" s="644" customFormat="1" ht="24.95" customHeight="1">
      <c r="A316" s="639"/>
      <c r="B316" s="646" t="s">
        <v>3416</v>
      </c>
      <c r="C316" s="647" t="s">
        <v>3417</v>
      </c>
      <c r="D316" s="642">
        <f>+'SP Pas Alim'!F211+'SP Pas Alim'!F212+'SP Pas Alim'!F213</f>
        <v>0</v>
      </c>
      <c r="E316" s="642">
        <f>+'SP Pas Alim'!G211+'SP Pas Alim'!G212+'SP Pas Alim'!G213</f>
        <v>0</v>
      </c>
      <c r="F316" s="625"/>
      <c r="G316" s="643"/>
      <c r="J316" s="628"/>
      <c r="K316" s="627"/>
    </row>
    <row r="317" spans="1:11" s="644" customFormat="1" ht="24.95" customHeight="1">
      <c r="A317" s="639"/>
      <c r="B317" s="703" t="s">
        <v>3418</v>
      </c>
      <c r="C317" s="704" t="s">
        <v>3419</v>
      </c>
      <c r="D317" s="642">
        <f>+D318+D321</f>
        <v>69904093.439999998</v>
      </c>
      <c r="E317" s="642">
        <f>+E318+E321</f>
        <v>89809618.099999994</v>
      </c>
      <c r="F317" s="764" t="s">
        <v>1835</v>
      </c>
      <c r="G317" s="643"/>
      <c r="J317" s="628"/>
      <c r="K317" s="627"/>
    </row>
    <row r="318" spans="1:11" s="644" customFormat="1" ht="25.5">
      <c r="A318" s="639"/>
      <c r="B318" s="646" t="s">
        <v>3420</v>
      </c>
      <c r="C318" s="647" t="s">
        <v>3421</v>
      </c>
      <c r="D318" s="642">
        <f>+D319+D320</f>
        <v>0</v>
      </c>
      <c r="E318" s="642">
        <f>+E319+E320</f>
        <v>0</v>
      </c>
      <c r="F318" s="764" t="s">
        <v>1835</v>
      </c>
      <c r="G318" s="643"/>
      <c r="J318" s="628"/>
      <c r="K318" s="627"/>
    </row>
    <row r="319" spans="1:11" s="644" customFormat="1" ht="21">
      <c r="A319" s="639"/>
      <c r="B319" s="714" t="s">
        <v>3422</v>
      </c>
      <c r="C319" s="727" t="s">
        <v>3423</v>
      </c>
      <c r="D319" s="642">
        <f>+'SP Pas Alim'!F217+'SP Pas Alim'!F218</f>
        <v>0</v>
      </c>
      <c r="E319" s="642">
        <f>+'SP Pas Alim'!G217+'SP Pas Alim'!G218</f>
        <v>0</v>
      </c>
      <c r="F319" s="625"/>
      <c r="G319" s="643"/>
      <c r="J319" s="628"/>
      <c r="K319" s="627"/>
    </row>
    <row r="320" spans="1:11" s="644" customFormat="1" ht="21">
      <c r="A320" s="639"/>
      <c r="B320" s="714" t="s">
        <v>3424</v>
      </c>
      <c r="C320" s="727" t="s">
        <v>3425</v>
      </c>
      <c r="D320" s="642">
        <f>+'SP Pas Alim'!F220</f>
        <v>0</v>
      </c>
      <c r="E320" s="642">
        <f>+'SP Pas Alim'!G220</f>
        <v>0</v>
      </c>
      <c r="F320" s="625"/>
      <c r="G320" s="643"/>
      <c r="J320" s="628"/>
      <c r="K320" s="627"/>
    </row>
    <row r="321" spans="1:11" s="644" customFormat="1" ht="21">
      <c r="A321" s="639"/>
      <c r="B321" s="714" t="s">
        <v>3426</v>
      </c>
      <c r="C321" s="727" t="s">
        <v>3427</v>
      </c>
      <c r="D321" s="642">
        <f>+D322+D323</f>
        <v>69904093.439999998</v>
      </c>
      <c r="E321" s="642">
        <f>+E322+E323</f>
        <v>89809618.099999994</v>
      </c>
      <c r="F321" s="764" t="s">
        <v>1835</v>
      </c>
      <c r="G321" s="643"/>
      <c r="J321" s="628"/>
      <c r="K321" s="627"/>
    </row>
    <row r="322" spans="1:11" s="644" customFormat="1" ht="21">
      <c r="A322" s="639"/>
      <c r="B322" s="728" t="s">
        <v>3428</v>
      </c>
      <c r="C322" s="729" t="s">
        <v>3429</v>
      </c>
      <c r="D322" s="642">
        <f>+'SP Pas Alim'!F223+'SP Pas Alim'!F224+'SP Pas Alim'!F225+'SP Pas Alim'!F226+'SP Pas Alim'!F227+'SP Pas Alim'!F228</f>
        <v>73124369.909999996</v>
      </c>
      <c r="E322" s="642">
        <f>+'SP Pas Alim'!G223+'SP Pas Alim'!G224+'SP Pas Alim'!G225+'SP Pas Alim'!G226+'SP Pas Alim'!G227+'SP Pas Alim'!G228</f>
        <v>92485773.939999998</v>
      </c>
      <c r="F322" s="625"/>
      <c r="G322" s="643"/>
      <c r="J322" s="628"/>
      <c r="K322" s="627"/>
    </row>
    <row r="323" spans="1:11" s="644" customFormat="1" ht="21">
      <c r="A323" s="639"/>
      <c r="B323" s="728" t="s">
        <v>3430</v>
      </c>
      <c r="C323" s="729" t="s">
        <v>3431</v>
      </c>
      <c r="D323" s="642">
        <f>+'SP Pas Alim'!F230</f>
        <v>-3220276.47</v>
      </c>
      <c r="E323" s="642">
        <f>+'SP Pas Alim'!G230</f>
        <v>-2676155.84</v>
      </c>
      <c r="F323" s="625"/>
      <c r="G323" s="643"/>
      <c r="J323" s="628"/>
      <c r="K323" s="627"/>
    </row>
    <row r="324" spans="1:11" s="644" customFormat="1" ht="24.95" customHeight="1">
      <c r="A324" s="639"/>
      <c r="B324" s="703" t="s">
        <v>3432</v>
      </c>
      <c r="C324" s="704" t="s">
        <v>3433</v>
      </c>
      <c r="D324" s="642">
        <f>+'SP Pas Alim'!F232+'SP Pas Alim'!F233</f>
        <v>0</v>
      </c>
      <c r="E324" s="642">
        <f>+'SP Pas Alim'!G232+'SP Pas Alim'!G233</f>
        <v>0</v>
      </c>
      <c r="F324" s="625"/>
      <c r="G324" s="643"/>
      <c r="J324" s="628"/>
      <c r="K324" s="627"/>
    </row>
    <row r="325" spans="1:11" s="644" customFormat="1" ht="24.95" customHeight="1">
      <c r="A325" s="639"/>
      <c r="B325" s="703" t="s">
        <v>3434</v>
      </c>
      <c r="C325" s="704" t="s">
        <v>3435</v>
      </c>
      <c r="D325" s="642">
        <f>+'SP Pas Alim'!F235+'SP Pas Alim'!F236+'SP Pas Alim'!F237+'SP Pas Alim'!F238+'SP Pas Alim'!F239+'SP Pas Alim'!F240+'SP Pas Alim'!F241+'SP Pas Alim'!F242+'SP Pas Alim'!F243+'SP Pas Alim'!F244+'SP Pas Alim'!F245+'SP Pas Alim'!F246</f>
        <v>1301342.7000000002</v>
      </c>
      <c r="E325" s="642">
        <f>+'SP Pas Alim'!G235+'SP Pas Alim'!G236+'SP Pas Alim'!G237+'SP Pas Alim'!G238+'SP Pas Alim'!G239+'SP Pas Alim'!G240+'SP Pas Alim'!G241+'SP Pas Alim'!G242+'SP Pas Alim'!G243+'SP Pas Alim'!G244+'SP Pas Alim'!G245+'SP Pas Alim'!G246</f>
        <v>1679307.4635999927</v>
      </c>
      <c r="F325" s="625"/>
      <c r="G325" s="643"/>
      <c r="J325" s="628"/>
      <c r="K325" s="627"/>
    </row>
    <row r="326" spans="1:11" s="644" customFormat="1" ht="24.95" customHeight="1">
      <c r="A326" s="639"/>
      <c r="B326" s="703" t="s">
        <v>3436</v>
      </c>
      <c r="C326" s="704" t="s">
        <v>3437</v>
      </c>
      <c r="D326" s="642">
        <f>+'SP Pas Alim'!F248+'SP Pas Alim'!F249+'SP Pas Alim'!F250+'SP Pas Alim'!F251+'SP Pas Alim'!F252+'SP Pas Alim'!F253+'SP Pas Alim'!F254+'SP Pas Alim'!F255+'SP Pas Alim'!F256</f>
        <v>498835.36</v>
      </c>
      <c r="E326" s="642">
        <f>+'SP Pas Alim'!G248+'SP Pas Alim'!G249+'SP Pas Alim'!G250+'SP Pas Alim'!G251+'SP Pas Alim'!G252+'SP Pas Alim'!G253+'SP Pas Alim'!G254+'SP Pas Alim'!G255+'SP Pas Alim'!G256</f>
        <v>442346.82000000007</v>
      </c>
      <c r="F326" s="625"/>
      <c r="G326" s="643"/>
      <c r="J326" s="628"/>
      <c r="K326" s="627"/>
    </row>
    <row r="327" spans="1:11" s="644" customFormat="1" ht="24.95" customHeight="1">
      <c r="A327" s="639"/>
      <c r="B327" s="703" t="s">
        <v>3438</v>
      </c>
      <c r="C327" s="704" t="s">
        <v>3439</v>
      </c>
      <c r="D327" s="642">
        <f>+D328+D329+D330+D331</f>
        <v>4336958.75</v>
      </c>
      <c r="E327" s="642">
        <f>+E328+E329+E330+E331</f>
        <v>4329489.66</v>
      </c>
      <c r="F327" s="764" t="s">
        <v>1835</v>
      </c>
      <c r="G327" s="643"/>
      <c r="J327" s="628"/>
      <c r="K327" s="627"/>
    </row>
    <row r="328" spans="1:11" s="644" customFormat="1" ht="24.95" customHeight="1">
      <c r="A328" s="639"/>
      <c r="B328" s="646" t="s">
        <v>3440</v>
      </c>
      <c r="C328" s="647" t="s">
        <v>3441</v>
      </c>
      <c r="D328" s="642">
        <f>+'SP Pas Alim'!F259</f>
        <v>0</v>
      </c>
      <c r="E328" s="642">
        <f>+'SP Pas Alim'!G259</f>
        <v>0</v>
      </c>
      <c r="F328" s="625"/>
      <c r="G328" s="643"/>
      <c r="J328" s="628"/>
      <c r="K328" s="627"/>
    </row>
    <row r="329" spans="1:11" s="644" customFormat="1" ht="24.95" customHeight="1">
      <c r="A329" s="639"/>
      <c r="B329" s="646" t="s">
        <v>3442</v>
      </c>
      <c r="C329" s="647" t="s">
        <v>3443</v>
      </c>
      <c r="D329" s="642">
        <f>+'SP Pas Alim'!F261+'SP Pas Alim'!F262</f>
        <v>2101796.39</v>
      </c>
      <c r="E329" s="642">
        <f>+'SP Pas Alim'!G261+'SP Pas Alim'!G262</f>
        <v>1835498.15</v>
      </c>
      <c r="F329" s="625"/>
      <c r="G329" s="643"/>
      <c r="J329" s="628"/>
      <c r="K329" s="627"/>
    </row>
    <row r="330" spans="1:11" s="644" customFormat="1" ht="24.95" customHeight="1">
      <c r="A330" s="639"/>
      <c r="B330" s="646" t="s">
        <v>3444</v>
      </c>
      <c r="C330" s="647" t="s">
        <v>3445</v>
      </c>
      <c r="D330" s="642">
        <f>+'SP Pas Alim'!F264+'SP Pas Alim'!F265</f>
        <v>0</v>
      </c>
      <c r="E330" s="642">
        <f>+'SP Pas Alim'!G264+'SP Pas Alim'!G265</f>
        <v>0</v>
      </c>
      <c r="F330" s="625"/>
      <c r="G330" s="643"/>
      <c r="J330" s="628"/>
      <c r="K330" s="627"/>
    </row>
    <row r="331" spans="1:11" s="644" customFormat="1" ht="24.95" customHeight="1" thickBot="1">
      <c r="A331" s="649"/>
      <c r="B331" s="687" t="s">
        <v>3446</v>
      </c>
      <c r="C331" s="688" t="s">
        <v>3447</v>
      </c>
      <c r="D331" s="642">
        <f>+'SP Pas Alim'!F267+'SP Pas Alim'!F268+'SP Pas Alim'!F269+'SP Pas Alim'!F270+'SP Pas Alim'!F272+'SP Pas Alim'!F273+'SP Pas Alim'!F274+'SP Pas Alim'!F275+'SP Pas Alim'!F276+'SP Pas Alim'!F278+'SP Pas Alim'!F279+'SP Pas Alim'!F280+'SP Pas Alim'!F281+'SP Pas Alim'!F283+'SP Pas Alim'!F284+'SP Pas Alim'!F285+'SP Pas Alim'!F286</f>
        <v>2235162.3600000003</v>
      </c>
      <c r="E331" s="642">
        <f>+'SP Pas Alim'!G267+'SP Pas Alim'!G268+'SP Pas Alim'!G269+'SP Pas Alim'!G270+'SP Pas Alim'!G272+'SP Pas Alim'!G273+'SP Pas Alim'!G274+'SP Pas Alim'!G275+'SP Pas Alim'!G276+'SP Pas Alim'!G278+'SP Pas Alim'!G279+'SP Pas Alim'!G280+'SP Pas Alim'!G281+'SP Pas Alim'!G283+'SP Pas Alim'!G284+'SP Pas Alim'!G285+'SP Pas Alim'!G286</f>
        <v>2493991.5100000007</v>
      </c>
      <c r="F331" s="661"/>
      <c r="G331" s="673"/>
      <c r="J331" s="628"/>
      <c r="K331" s="627"/>
    </row>
    <row r="332" spans="1:11" s="644" customFormat="1" ht="24.95" customHeight="1">
      <c r="A332" s="695"/>
      <c r="B332" s="622" t="s">
        <v>3448</v>
      </c>
      <c r="C332" s="623" t="s">
        <v>3449</v>
      </c>
      <c r="D332" s="656">
        <f>+D333+D336</f>
        <v>0</v>
      </c>
      <c r="E332" s="656">
        <f>+E333+E336</f>
        <v>0</v>
      </c>
      <c r="F332" s="625"/>
      <c r="G332" s="643"/>
      <c r="J332" s="628"/>
      <c r="K332" s="627"/>
    </row>
    <row r="333" spans="1:11" s="644" customFormat="1" ht="24.95" customHeight="1">
      <c r="A333" s="639"/>
      <c r="B333" s="703" t="s">
        <v>3450</v>
      </c>
      <c r="C333" s="704" t="s">
        <v>3451</v>
      </c>
      <c r="D333" s="642">
        <f>+D334+D335</f>
        <v>0</v>
      </c>
      <c r="E333" s="642">
        <f>+E334+E335</f>
        <v>0</v>
      </c>
      <c r="F333" s="764" t="s">
        <v>1835</v>
      </c>
      <c r="G333" s="643"/>
      <c r="J333" s="628"/>
      <c r="K333" s="627"/>
    </row>
    <row r="334" spans="1:11" s="644" customFormat="1" ht="24.95" customHeight="1">
      <c r="A334" s="639"/>
      <c r="B334" s="646" t="s">
        <v>3452</v>
      </c>
      <c r="C334" s="647" t="s">
        <v>3453</v>
      </c>
      <c r="D334" s="642">
        <f>+'SP Pas Alim'!F290</f>
        <v>0</v>
      </c>
      <c r="E334" s="642">
        <f>+'SP Pas Alim'!G290</f>
        <v>0</v>
      </c>
      <c r="F334" s="625"/>
      <c r="G334" s="643"/>
      <c r="J334" s="628"/>
      <c r="K334" s="627"/>
    </row>
    <row r="335" spans="1:11" s="644" customFormat="1" ht="24.95" customHeight="1">
      <c r="A335" s="689" t="s">
        <v>1248</v>
      </c>
      <c r="B335" s="646" t="s">
        <v>3454</v>
      </c>
      <c r="C335" s="647" t="s">
        <v>3455</v>
      </c>
      <c r="D335" s="642">
        <f>+'SP Pas Alim'!F292</f>
        <v>0</v>
      </c>
      <c r="E335" s="642">
        <f>+'SP Pas Alim'!G292</f>
        <v>0</v>
      </c>
      <c r="F335" s="625"/>
      <c r="G335" s="643"/>
      <c r="J335" s="628"/>
      <c r="K335" s="627"/>
    </row>
    <row r="336" spans="1:11" s="644" customFormat="1" ht="24.95" customHeight="1">
      <c r="A336" s="639"/>
      <c r="B336" s="703" t="s">
        <v>3456</v>
      </c>
      <c r="C336" s="704" t="s">
        <v>3457</v>
      </c>
      <c r="D336" s="642">
        <f>+D337+D338+D339</f>
        <v>0</v>
      </c>
      <c r="E336" s="642">
        <f>+E337+E338+E339</f>
        <v>0</v>
      </c>
      <c r="F336" s="764" t="s">
        <v>1835</v>
      </c>
      <c r="G336" s="643"/>
      <c r="J336" s="628"/>
      <c r="K336" s="627"/>
    </row>
    <row r="337" spans="1:20" s="644" customFormat="1" ht="24.95" customHeight="1">
      <c r="A337" s="639"/>
      <c r="B337" s="646" t="s">
        <v>3458</v>
      </c>
      <c r="C337" s="647" t="s">
        <v>3459</v>
      </c>
      <c r="D337" s="642">
        <f>+'SP Pas Alim'!F295</f>
        <v>0</v>
      </c>
      <c r="E337" s="642">
        <f>+'SP Pas Alim'!G295</f>
        <v>0</v>
      </c>
      <c r="F337" s="625"/>
      <c r="G337" s="643"/>
      <c r="J337" s="628"/>
      <c r="K337" s="627"/>
    </row>
    <row r="338" spans="1:20" s="644" customFormat="1" ht="24.95" customHeight="1">
      <c r="A338" s="730" t="s">
        <v>1248</v>
      </c>
      <c r="B338" s="711" t="s">
        <v>3460</v>
      </c>
      <c r="C338" s="712" t="s">
        <v>3461</v>
      </c>
      <c r="D338" s="642">
        <f>+'SP Pas Alim'!F297</f>
        <v>0</v>
      </c>
      <c r="E338" s="642">
        <f>+'SP Pas Alim'!G297</f>
        <v>0</v>
      </c>
      <c r="F338" s="625"/>
      <c r="G338" s="643"/>
      <c r="J338" s="628"/>
      <c r="K338" s="627"/>
    </row>
    <row r="339" spans="1:20" s="672" customFormat="1" ht="37.5" customHeight="1">
      <c r="A339" s="639"/>
      <c r="B339" s="646" t="s">
        <v>3462</v>
      </c>
      <c r="C339" s="647" t="s">
        <v>3463</v>
      </c>
      <c r="D339" s="642">
        <f>+'SP Pas Alim'!F299</f>
        <v>0</v>
      </c>
      <c r="E339" s="642">
        <f>+'SP Pas Alim'!G299</f>
        <v>0</v>
      </c>
      <c r="F339" s="625"/>
      <c r="G339" s="643"/>
      <c r="J339" s="628"/>
      <c r="K339" s="627"/>
    </row>
    <row r="340" spans="1:20" s="644" customFormat="1" ht="24.95" customHeight="1" thickBot="1">
      <c r="A340" s="691"/>
      <c r="B340" s="731" t="s">
        <v>3464</v>
      </c>
      <c r="C340" s="732" t="s">
        <v>3465</v>
      </c>
      <c r="D340" s="733">
        <f>+D332+D275+D271+D238+D214</f>
        <v>243721454.91000015</v>
      </c>
      <c r="E340" s="733">
        <f>+E332+E275+E271+E238+E214</f>
        <v>249702444.95359987</v>
      </c>
      <c r="F340" s="625"/>
      <c r="G340" s="643"/>
      <c r="J340" s="628"/>
      <c r="K340" s="627"/>
    </row>
    <row r="341" spans="1:20" s="644" customFormat="1" ht="24.95" customHeight="1">
      <c r="A341" s="695"/>
      <c r="B341" s="622" t="s">
        <v>3466</v>
      </c>
      <c r="C341" s="696" t="s">
        <v>3467</v>
      </c>
      <c r="D341" s="697">
        <f>+D342+D343+D344+D345+D346</f>
        <v>347396.87</v>
      </c>
      <c r="E341" s="697">
        <f>+E342+E343+E344+E345+E346</f>
        <v>347396.87</v>
      </c>
      <c r="F341" s="625"/>
      <c r="G341" s="643"/>
      <c r="J341" s="628"/>
      <c r="K341" s="627"/>
    </row>
    <row r="342" spans="1:20" s="644" customFormat="1" ht="24.95" customHeight="1">
      <c r="A342" s="639"/>
      <c r="B342" s="698" t="s">
        <v>3468</v>
      </c>
      <c r="C342" s="699" t="s">
        <v>3469</v>
      </c>
      <c r="D342" s="642">
        <f>+'SP Pas Alim'!F303</f>
        <v>0</v>
      </c>
      <c r="E342" s="642">
        <f>+'SP Pas Alim'!G303</f>
        <v>0</v>
      </c>
      <c r="F342" s="625"/>
      <c r="G342" s="643"/>
      <c r="J342" s="628"/>
      <c r="K342" s="627"/>
    </row>
    <row r="343" spans="1:20" s="644" customFormat="1" ht="24.95" customHeight="1">
      <c r="A343" s="639"/>
      <c r="B343" s="698" t="s">
        <v>3470</v>
      </c>
      <c r="C343" s="699" t="s">
        <v>3471</v>
      </c>
      <c r="D343" s="642">
        <f>+'SP Pas Alim'!F305</f>
        <v>0</v>
      </c>
      <c r="E343" s="642">
        <f>+'SP Pas Alim'!G305</f>
        <v>0</v>
      </c>
      <c r="F343" s="625"/>
      <c r="G343" s="643"/>
      <c r="J343" s="628"/>
      <c r="K343" s="627"/>
    </row>
    <row r="344" spans="1:20" s="644" customFormat="1" ht="24.95" customHeight="1">
      <c r="A344" s="639"/>
      <c r="B344" s="698" t="s">
        <v>3472</v>
      </c>
      <c r="C344" s="699" t="s">
        <v>3473</v>
      </c>
      <c r="D344" s="642">
        <f>+'SP Pas Alim'!F307</f>
        <v>347396.87</v>
      </c>
      <c r="E344" s="642">
        <f>+'SP Pas Alim'!G307</f>
        <v>347396.87</v>
      </c>
      <c r="F344" s="625"/>
      <c r="G344" s="643"/>
      <c r="J344" s="628"/>
      <c r="K344" s="627"/>
    </row>
    <row r="345" spans="1:20" s="644" customFormat="1" ht="24.95" customHeight="1">
      <c r="A345" s="700"/>
      <c r="B345" s="698" t="s">
        <v>3474</v>
      </c>
      <c r="C345" s="699" t="s">
        <v>3475</v>
      </c>
      <c r="D345" s="642">
        <f>+'SP Pas Alim'!F309</f>
        <v>0</v>
      </c>
      <c r="E345" s="642">
        <f>+'SP Pas Alim'!G309</f>
        <v>0</v>
      </c>
      <c r="F345" s="625"/>
      <c r="G345" s="643"/>
      <c r="J345" s="628"/>
      <c r="K345" s="627"/>
    </row>
    <row r="346" spans="1:20" s="644" customFormat="1" ht="24.95" customHeight="1" thickBot="1">
      <c r="A346" s="649"/>
      <c r="B346" s="701" t="s">
        <v>3476</v>
      </c>
      <c r="C346" s="702" t="s">
        <v>3477</v>
      </c>
      <c r="D346" s="734">
        <f>+SUM('SP Pas Alim'!F311:F315)</f>
        <v>0</v>
      </c>
      <c r="E346" s="734">
        <f>+SUM('SP Pas Alim'!G311:G315)</f>
        <v>0</v>
      </c>
      <c r="F346" s="625"/>
      <c r="G346" s="643"/>
      <c r="J346" s="628"/>
      <c r="K346" s="627"/>
    </row>
    <row r="347" spans="1:20" customFormat="1" ht="12.75">
      <c r="A347" s="114"/>
      <c r="B347" s="113"/>
      <c r="C347" s="114"/>
      <c r="D347" s="114"/>
      <c r="E347" s="114"/>
      <c r="F347" s="114"/>
      <c r="G347" s="114"/>
      <c r="H347" s="114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342"/>
    </row>
    <row r="348" spans="1:20" customFormat="1" ht="12.75">
      <c r="A348" s="114"/>
      <c r="B348" s="66" t="s">
        <v>1816</v>
      </c>
      <c r="C348" s="114"/>
      <c r="D348" s="114"/>
      <c r="E348" s="114"/>
      <c r="F348" s="114"/>
      <c r="G348" s="114"/>
      <c r="H348" s="114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342"/>
    </row>
    <row r="349" spans="1:20" customFormat="1" ht="15">
      <c r="A349" s="343"/>
      <c r="B349" s="55"/>
      <c r="C349" s="114"/>
      <c r="D349" s="114"/>
      <c r="E349" s="114"/>
      <c r="F349" s="114"/>
      <c r="G349" s="114"/>
      <c r="H349" s="114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342"/>
    </row>
    <row r="350" spans="1:20" customFormat="1" ht="12.75">
      <c r="A350" s="343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344"/>
    </row>
    <row r="351" spans="1:20" customFormat="1" ht="12.75">
      <c r="A351" s="343"/>
      <c r="B351" s="59" t="s">
        <v>1817</v>
      </c>
      <c r="C351" s="115"/>
      <c r="D351" s="115" t="s">
        <v>1818</v>
      </c>
      <c r="E351" s="115"/>
      <c r="G351" s="115"/>
      <c r="H351" s="115"/>
      <c r="I351" s="115"/>
      <c r="L351" s="115"/>
      <c r="M351" s="115"/>
      <c r="N351" s="115"/>
      <c r="O351" s="115"/>
      <c r="P351" s="115"/>
      <c r="Q351" s="115"/>
      <c r="R351" s="66"/>
      <c r="S351" s="66"/>
      <c r="T351" s="312"/>
    </row>
    <row r="352" spans="1:20" customFormat="1" ht="12.75">
      <c r="A352" s="114"/>
      <c r="B352" s="66"/>
      <c r="C352" s="66"/>
      <c r="D352" s="66"/>
      <c r="E352" s="66"/>
      <c r="F352" s="66"/>
      <c r="G352" s="66"/>
      <c r="H352" s="66"/>
      <c r="I352" s="66"/>
      <c r="L352" s="66"/>
      <c r="M352" s="66"/>
      <c r="N352" s="66"/>
      <c r="O352" s="66"/>
      <c r="P352" s="66"/>
      <c r="Q352" s="66"/>
      <c r="R352" s="66"/>
      <c r="S352" s="66"/>
      <c r="T352" s="344"/>
    </row>
    <row r="353" spans="1:27" customFormat="1" ht="15">
      <c r="A353" s="114"/>
      <c r="B353" s="59" t="s">
        <v>1819</v>
      </c>
      <c r="C353" s="114"/>
      <c r="D353" s="115" t="s">
        <v>1819</v>
      </c>
      <c r="E353" s="115"/>
      <c r="F353" s="115"/>
      <c r="G353" s="115"/>
      <c r="H353" s="115"/>
      <c r="I353" s="115"/>
      <c r="L353" s="115"/>
      <c r="M353" s="115"/>
      <c r="N353" s="115"/>
      <c r="O353" s="115"/>
      <c r="P353" s="115"/>
      <c r="Q353" s="115"/>
      <c r="R353" s="115"/>
      <c r="S353" s="115"/>
      <c r="T353" s="345"/>
    </row>
    <row r="354" spans="1:27" customFormat="1" ht="12.75">
      <c r="A354" s="114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344"/>
    </row>
    <row r="355" spans="1:27" customFormat="1" ht="12.75">
      <c r="A355" s="114"/>
      <c r="B355" s="66"/>
      <c r="C355" s="66"/>
      <c r="D355" s="115" t="s">
        <v>1820</v>
      </c>
      <c r="E355" s="66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344"/>
    </row>
    <row r="356" spans="1:27" customFormat="1" ht="15">
      <c r="A356" s="114"/>
      <c r="B356" s="66"/>
      <c r="C356" s="66"/>
      <c r="E356" s="115"/>
      <c r="F356" s="115"/>
      <c r="N356" s="56"/>
      <c r="O356" s="56"/>
      <c r="P356" s="56"/>
      <c r="Q356" s="56"/>
      <c r="R356" s="56"/>
      <c r="T356" s="344"/>
    </row>
    <row r="357" spans="1:27" customFormat="1" ht="15">
      <c r="A357" s="56"/>
      <c r="B357" s="55"/>
      <c r="C357" s="115"/>
      <c r="D357" s="115" t="s">
        <v>1819</v>
      </c>
      <c r="E357" s="66"/>
      <c r="F357" s="66"/>
      <c r="N357" s="56"/>
      <c r="O357" s="56"/>
      <c r="P357" s="56"/>
      <c r="Q357" s="56"/>
      <c r="R357" s="56"/>
      <c r="T357" s="345"/>
    </row>
    <row r="358" spans="1:27" customFormat="1" ht="15">
      <c r="A358" s="56"/>
      <c r="B358" s="66"/>
      <c r="C358" s="66"/>
      <c r="D358" s="66"/>
      <c r="E358" s="66"/>
      <c r="N358" s="56"/>
      <c r="O358" s="56"/>
      <c r="P358" s="56"/>
      <c r="Q358" s="56"/>
      <c r="R358" s="56"/>
      <c r="T358" s="344"/>
    </row>
    <row r="359" spans="1:27" customFormat="1" ht="15">
      <c r="A359" s="56"/>
      <c r="C359" s="56"/>
      <c r="D359" s="56"/>
      <c r="E359" s="56"/>
      <c r="F359" s="115"/>
      <c r="G359" s="115"/>
      <c r="H359" s="115"/>
      <c r="N359" s="56"/>
      <c r="O359" s="56"/>
      <c r="P359" s="56"/>
      <c r="Q359" s="56"/>
      <c r="R359" s="56"/>
      <c r="U359" s="56"/>
    </row>
    <row r="360" spans="1:27" customFormat="1" ht="15">
      <c r="N360" s="56"/>
      <c r="O360" s="56"/>
      <c r="P360" s="56"/>
      <c r="Q360" s="56"/>
      <c r="R360" s="56"/>
    </row>
    <row r="361" spans="1:27" customFormat="1" ht="15">
      <c r="S361" s="56"/>
      <c r="T361" s="56"/>
      <c r="U361" s="56"/>
      <c r="V361" s="56"/>
      <c r="W361" s="56"/>
    </row>
    <row r="362" spans="1:27" customFormat="1" ht="15">
      <c r="S362" s="57"/>
      <c r="T362" s="57"/>
      <c r="U362" s="57"/>
      <c r="V362" s="57"/>
      <c r="W362" s="57"/>
    </row>
    <row r="363" spans="1:27" customFormat="1" ht="15">
      <c r="S363" s="57"/>
      <c r="T363" s="57"/>
      <c r="U363" s="57"/>
      <c r="V363" s="57"/>
      <c r="W363" s="57"/>
    </row>
    <row r="364" spans="1:27" s="110" customFormat="1">
      <c r="A364" s="65"/>
      <c r="B364" s="65"/>
      <c r="C364" s="64"/>
      <c r="D364" s="576"/>
      <c r="E364" s="64"/>
      <c r="F364" s="609"/>
      <c r="G364" s="735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</row>
    <row r="365" spans="1:27" s="110" customFormat="1">
      <c r="A365" s="65"/>
      <c r="B365" s="65"/>
      <c r="C365" s="64"/>
      <c r="D365" s="576"/>
      <c r="E365" s="64"/>
      <c r="F365" s="609"/>
      <c r="G365" s="735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</row>
    <row r="366" spans="1:27" s="110" customFormat="1">
      <c r="A366" s="65"/>
      <c r="B366" s="65"/>
      <c r="C366" s="64"/>
      <c r="D366" s="576"/>
      <c r="E366" s="64"/>
      <c r="F366" s="609"/>
      <c r="G366" s="735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</row>
    <row r="367" spans="1:27" s="110" customFormat="1">
      <c r="A367" s="65"/>
      <c r="B367" s="65"/>
      <c r="C367" s="64"/>
      <c r="D367" s="576"/>
      <c r="E367" s="64"/>
      <c r="F367" s="609"/>
      <c r="G367" s="735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</row>
    <row r="368" spans="1:27" s="110" customFormat="1">
      <c r="A368" s="65"/>
      <c r="B368" s="65"/>
      <c r="C368" s="64"/>
      <c r="D368" s="576"/>
      <c r="E368" s="64"/>
      <c r="F368" s="609"/>
      <c r="G368" s="735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</row>
    <row r="369" spans="1:27" s="110" customFormat="1">
      <c r="A369" s="65"/>
      <c r="B369" s="65"/>
      <c r="C369" s="64"/>
      <c r="D369" s="576"/>
      <c r="E369" s="64"/>
      <c r="F369" s="609"/>
      <c r="G369" s="735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</row>
    <row r="370" spans="1:27" s="110" customFormat="1">
      <c r="A370" s="65"/>
      <c r="B370" s="65"/>
      <c r="C370" s="64"/>
      <c r="D370" s="576"/>
      <c r="E370" s="64"/>
      <c r="F370" s="609"/>
      <c r="G370" s="735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</row>
    <row r="371" spans="1:27" s="110" customFormat="1">
      <c r="A371" s="65"/>
      <c r="B371" s="65"/>
      <c r="C371" s="64"/>
      <c r="D371" s="576"/>
      <c r="E371" s="64"/>
      <c r="F371" s="609"/>
      <c r="G371" s="735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</row>
    <row r="372" spans="1:27" s="110" customFormat="1">
      <c r="A372" s="65"/>
      <c r="B372" s="65"/>
      <c r="C372" s="64"/>
      <c r="D372" s="576"/>
      <c r="E372" s="64"/>
      <c r="F372" s="609"/>
      <c r="G372" s="735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</row>
    <row r="373" spans="1:27" s="110" customFormat="1">
      <c r="A373" s="65"/>
      <c r="B373" s="65"/>
      <c r="C373" s="64"/>
      <c r="D373" s="576"/>
      <c r="E373" s="64"/>
      <c r="F373" s="609"/>
      <c r="G373" s="735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</row>
    <row r="374" spans="1:27" s="110" customFormat="1">
      <c r="A374" s="65"/>
      <c r="B374" s="65"/>
      <c r="C374" s="64"/>
      <c r="D374" s="576"/>
      <c r="E374" s="64"/>
      <c r="F374" s="609"/>
      <c r="G374" s="735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</row>
    <row r="375" spans="1:27" s="110" customFormat="1">
      <c r="A375" s="65"/>
      <c r="B375" s="65"/>
      <c r="C375" s="64"/>
      <c r="D375" s="576"/>
      <c r="E375" s="64"/>
      <c r="F375" s="609"/>
      <c r="G375" s="735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</row>
    <row r="376" spans="1:27" s="110" customFormat="1">
      <c r="A376" s="65"/>
      <c r="B376" s="65"/>
      <c r="C376" s="64"/>
      <c r="D376" s="576"/>
      <c r="E376" s="64"/>
      <c r="F376" s="609"/>
      <c r="G376" s="735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</row>
    <row r="377" spans="1:27" s="110" customFormat="1">
      <c r="A377" s="65"/>
      <c r="B377" s="65"/>
      <c r="C377" s="64"/>
      <c r="D377" s="576"/>
      <c r="E377" s="64"/>
      <c r="F377" s="609"/>
      <c r="G377" s="735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</row>
    <row r="378" spans="1:27" s="110" customFormat="1">
      <c r="A378" s="65"/>
      <c r="B378" s="65"/>
      <c r="C378" s="64"/>
      <c r="D378" s="576"/>
      <c r="E378" s="64"/>
      <c r="F378" s="609"/>
      <c r="G378" s="735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</row>
    <row r="379" spans="1:27" s="110" customFormat="1">
      <c r="A379" s="65"/>
      <c r="B379" s="65"/>
      <c r="C379" s="64"/>
      <c r="D379" s="576"/>
      <c r="E379" s="64"/>
      <c r="F379" s="609"/>
      <c r="G379" s="735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</row>
    <row r="380" spans="1:27" s="110" customFormat="1">
      <c r="A380" s="65"/>
      <c r="B380" s="65"/>
      <c r="C380" s="64"/>
      <c r="D380" s="576"/>
      <c r="E380" s="64"/>
      <c r="F380" s="609"/>
      <c r="G380" s="735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</row>
    <row r="381" spans="1:27" s="110" customFormat="1">
      <c r="A381" s="65"/>
      <c r="B381" s="65"/>
      <c r="C381" s="64"/>
      <c r="D381" s="576"/>
      <c r="E381" s="64"/>
      <c r="F381" s="609"/>
      <c r="G381" s="735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</row>
    <row r="382" spans="1:27" s="110" customFormat="1">
      <c r="A382" s="65"/>
      <c r="B382" s="65"/>
      <c r="C382" s="64"/>
      <c r="D382" s="576"/>
      <c r="E382" s="64"/>
      <c r="F382" s="609"/>
      <c r="G382" s="735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</row>
    <row r="383" spans="1:27" s="110" customFormat="1">
      <c r="A383" s="65"/>
      <c r="B383" s="65"/>
      <c r="C383" s="64"/>
      <c r="D383" s="576"/>
      <c r="E383" s="64"/>
      <c r="F383" s="609"/>
      <c r="G383" s="735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</row>
    <row r="384" spans="1:27" s="110" customFormat="1">
      <c r="A384" s="65"/>
      <c r="B384" s="65"/>
      <c r="C384" s="64"/>
      <c r="D384" s="576"/>
      <c r="E384" s="64"/>
      <c r="F384" s="609"/>
      <c r="G384" s="735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</row>
    <row r="385" spans="1:27" s="110" customFormat="1">
      <c r="A385" s="65"/>
      <c r="B385" s="65"/>
      <c r="C385" s="64"/>
      <c r="D385" s="576"/>
      <c r="E385" s="64"/>
      <c r="F385" s="609"/>
      <c r="G385" s="735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</row>
    <row r="386" spans="1:27" s="110" customFormat="1">
      <c r="A386" s="65"/>
      <c r="B386" s="65"/>
      <c r="C386" s="64"/>
      <c r="D386" s="576"/>
      <c r="E386" s="64"/>
      <c r="F386" s="609"/>
      <c r="G386" s="735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</row>
    <row r="387" spans="1:27" s="110" customFormat="1">
      <c r="A387" s="65"/>
      <c r="B387" s="65"/>
      <c r="C387" s="64"/>
      <c r="D387" s="576"/>
      <c r="E387" s="64"/>
      <c r="F387" s="609"/>
      <c r="G387" s="735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</row>
    <row r="388" spans="1:27" s="110" customFormat="1">
      <c r="A388" s="65"/>
      <c r="B388" s="65"/>
      <c r="C388" s="64"/>
      <c r="D388" s="576"/>
      <c r="E388" s="64"/>
      <c r="F388" s="609"/>
      <c r="G388" s="735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</row>
    <row r="389" spans="1:27" s="110" customFormat="1">
      <c r="A389" s="65"/>
      <c r="B389" s="65"/>
      <c r="C389" s="64"/>
      <c r="D389" s="576"/>
      <c r="E389" s="64"/>
      <c r="F389" s="609"/>
      <c r="G389" s="735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</row>
    <row r="390" spans="1:27" s="110" customFormat="1">
      <c r="A390" s="65"/>
      <c r="B390" s="65"/>
      <c r="C390" s="64"/>
      <c r="D390" s="576"/>
      <c r="E390" s="64"/>
      <c r="F390" s="609"/>
      <c r="G390" s="735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</row>
    <row r="391" spans="1:27" s="110" customFormat="1">
      <c r="A391" s="65"/>
      <c r="B391" s="65"/>
      <c r="C391" s="64"/>
      <c r="D391" s="576"/>
      <c r="E391" s="64"/>
      <c r="F391" s="609"/>
      <c r="G391" s="735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</row>
    <row r="392" spans="1:27" s="110" customFormat="1">
      <c r="A392" s="65"/>
      <c r="B392" s="65"/>
      <c r="C392" s="64"/>
      <c r="D392" s="576"/>
      <c r="E392" s="64"/>
      <c r="F392" s="609"/>
      <c r="G392" s="735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</row>
    <row r="393" spans="1:27" s="110" customFormat="1">
      <c r="A393" s="65"/>
      <c r="B393" s="65"/>
      <c r="C393" s="64"/>
      <c r="D393" s="576"/>
      <c r="E393" s="64"/>
      <c r="F393" s="609"/>
      <c r="G393" s="735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</row>
    <row r="394" spans="1:27" s="110" customFormat="1">
      <c r="A394" s="65"/>
      <c r="B394" s="65"/>
      <c r="C394" s="64"/>
      <c r="D394" s="576"/>
      <c r="E394" s="64"/>
      <c r="F394" s="609"/>
      <c r="G394" s="735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</row>
    <row r="395" spans="1:27" s="110" customFormat="1">
      <c r="A395" s="65"/>
      <c r="B395" s="65"/>
      <c r="C395" s="64"/>
      <c r="D395" s="576"/>
      <c r="E395" s="64"/>
      <c r="F395" s="609"/>
      <c r="G395" s="735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</row>
    <row r="396" spans="1:27" s="110" customFormat="1">
      <c r="A396" s="65"/>
      <c r="B396" s="65"/>
      <c r="C396" s="64"/>
      <c r="D396" s="576"/>
      <c r="E396" s="64"/>
      <c r="F396" s="609"/>
      <c r="G396" s="735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</row>
    <row r="397" spans="1:27" s="110" customFormat="1">
      <c r="A397" s="65"/>
      <c r="B397" s="65"/>
      <c r="C397" s="64"/>
      <c r="D397" s="576"/>
      <c r="E397" s="64"/>
      <c r="F397" s="609"/>
      <c r="G397" s="735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</row>
    <row r="398" spans="1:27" s="110" customFormat="1">
      <c r="A398" s="65"/>
      <c r="B398" s="65"/>
      <c r="C398" s="64"/>
      <c r="D398" s="576"/>
      <c r="E398" s="64"/>
      <c r="F398" s="609"/>
      <c r="G398" s="735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</row>
    <row r="399" spans="1:27" s="110" customFormat="1">
      <c r="A399" s="65"/>
      <c r="B399" s="65"/>
      <c r="C399" s="64"/>
      <c r="D399" s="576"/>
      <c r="E399" s="64"/>
      <c r="F399" s="609"/>
      <c r="G399" s="735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</row>
    <row r="400" spans="1:27" s="110" customFormat="1">
      <c r="A400" s="65"/>
      <c r="B400" s="65"/>
      <c r="C400" s="64"/>
      <c r="D400" s="576"/>
      <c r="E400" s="64"/>
      <c r="F400" s="609"/>
      <c r="G400" s="735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</row>
    <row r="401" spans="1:27" s="110" customFormat="1">
      <c r="A401" s="65"/>
      <c r="B401" s="65"/>
      <c r="C401" s="64"/>
      <c r="D401" s="576"/>
      <c r="E401" s="64"/>
      <c r="F401" s="609"/>
      <c r="G401" s="735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</row>
    <row r="402" spans="1:27" s="110" customFormat="1">
      <c r="A402" s="65"/>
      <c r="B402" s="65"/>
      <c r="C402" s="64"/>
      <c r="D402" s="576"/>
      <c r="E402" s="64"/>
      <c r="F402" s="609"/>
      <c r="G402" s="735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</row>
    <row r="403" spans="1:27" s="110" customFormat="1">
      <c r="A403" s="65"/>
      <c r="B403" s="65"/>
      <c r="C403" s="64"/>
      <c r="D403" s="576"/>
      <c r="E403" s="64"/>
      <c r="F403" s="609"/>
      <c r="G403" s="735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</row>
    <row r="404" spans="1:27" s="110" customFormat="1">
      <c r="A404" s="65"/>
      <c r="B404" s="65"/>
      <c r="C404" s="64"/>
      <c r="D404" s="576"/>
      <c r="E404" s="64"/>
      <c r="F404" s="609"/>
      <c r="G404" s="735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</row>
    <row r="405" spans="1:27" s="110" customFormat="1">
      <c r="A405" s="65"/>
      <c r="B405" s="65"/>
      <c r="C405" s="64"/>
      <c r="D405" s="576"/>
      <c r="E405" s="64"/>
      <c r="F405" s="609"/>
      <c r="G405" s="735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</row>
    <row r="406" spans="1:27" s="110" customFormat="1">
      <c r="A406" s="65"/>
      <c r="B406" s="65"/>
      <c r="C406" s="64"/>
      <c r="D406" s="576"/>
      <c r="E406" s="64"/>
      <c r="F406" s="609"/>
      <c r="G406" s="735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</row>
    <row r="407" spans="1:27" s="110" customFormat="1">
      <c r="A407" s="65"/>
      <c r="B407" s="65"/>
      <c r="C407" s="64"/>
      <c r="D407" s="576"/>
      <c r="E407" s="64"/>
      <c r="F407" s="609"/>
      <c r="G407" s="735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</row>
    <row r="408" spans="1:27" s="110" customFormat="1">
      <c r="A408" s="65"/>
      <c r="B408" s="65"/>
      <c r="C408" s="64"/>
      <c r="D408" s="576"/>
      <c r="E408" s="64"/>
      <c r="F408" s="609"/>
      <c r="G408" s="735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</row>
    <row r="409" spans="1:27" s="110" customFormat="1">
      <c r="A409" s="65"/>
      <c r="B409" s="65"/>
      <c r="C409" s="64"/>
      <c r="D409" s="576"/>
      <c r="E409" s="64"/>
      <c r="F409" s="609"/>
      <c r="G409" s="735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</row>
    <row r="410" spans="1:27" s="110" customFormat="1">
      <c r="A410" s="65"/>
      <c r="B410" s="65"/>
      <c r="C410" s="64"/>
      <c r="D410" s="576"/>
      <c r="E410" s="64"/>
      <c r="F410" s="609"/>
      <c r="G410" s="735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</row>
    <row r="411" spans="1:27" s="110" customFormat="1">
      <c r="A411" s="65"/>
      <c r="B411" s="65"/>
      <c r="C411" s="64"/>
      <c r="D411" s="576"/>
      <c r="E411" s="64"/>
      <c r="F411" s="609"/>
      <c r="G411" s="735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</row>
    <row r="412" spans="1:27" s="110" customFormat="1">
      <c r="A412" s="65"/>
      <c r="B412" s="65"/>
      <c r="C412" s="64"/>
      <c r="D412" s="576"/>
      <c r="E412" s="64"/>
      <c r="F412" s="609"/>
      <c r="G412" s="735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</row>
    <row r="413" spans="1:27" s="110" customFormat="1">
      <c r="A413" s="65"/>
      <c r="B413" s="65"/>
      <c r="C413" s="64"/>
      <c r="D413" s="576"/>
      <c r="E413" s="64"/>
      <c r="F413" s="609"/>
      <c r="G413" s="735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</row>
    <row r="414" spans="1:27" s="110" customFormat="1">
      <c r="A414" s="65"/>
      <c r="B414" s="65"/>
      <c r="C414" s="64"/>
      <c r="D414" s="576"/>
      <c r="E414" s="64"/>
      <c r="F414" s="609"/>
      <c r="G414" s="735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</row>
    <row r="415" spans="1:27" s="110" customFormat="1">
      <c r="A415" s="65"/>
      <c r="B415" s="65"/>
      <c r="C415" s="64"/>
      <c r="D415" s="576"/>
      <c r="E415" s="64"/>
      <c r="F415" s="609"/>
      <c r="G415" s="735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</row>
    <row r="416" spans="1:27" s="110" customFormat="1">
      <c r="A416" s="65"/>
      <c r="B416" s="65"/>
      <c r="C416" s="64"/>
      <c r="D416" s="576"/>
      <c r="E416" s="64"/>
      <c r="F416" s="609"/>
      <c r="G416" s="735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</row>
    <row r="417" spans="1:27" s="110" customFormat="1">
      <c r="A417" s="65"/>
      <c r="B417" s="65"/>
      <c r="C417" s="64"/>
      <c r="D417" s="576"/>
      <c r="E417" s="64"/>
      <c r="F417" s="609"/>
      <c r="G417" s="735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</row>
    <row r="418" spans="1:27" s="110" customFormat="1">
      <c r="A418" s="65"/>
      <c r="B418" s="65"/>
      <c r="C418" s="64"/>
      <c r="D418" s="576"/>
      <c r="E418" s="64"/>
      <c r="F418" s="609"/>
      <c r="G418" s="735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</row>
    <row r="419" spans="1:27" s="110" customFormat="1">
      <c r="A419" s="65"/>
      <c r="B419" s="65"/>
      <c r="C419" s="64"/>
      <c r="D419" s="576"/>
      <c r="E419" s="64"/>
      <c r="F419" s="609"/>
      <c r="G419" s="735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</row>
    <row r="420" spans="1:27" s="110" customFormat="1">
      <c r="A420" s="65"/>
      <c r="B420" s="65"/>
      <c r="C420" s="64"/>
      <c r="D420" s="576"/>
      <c r="E420" s="64"/>
      <c r="F420" s="609"/>
      <c r="G420" s="735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</row>
    <row r="421" spans="1:27" s="110" customFormat="1">
      <c r="A421" s="65"/>
      <c r="B421" s="65"/>
      <c r="C421" s="64"/>
      <c r="D421" s="576"/>
      <c r="E421" s="64"/>
      <c r="F421" s="609"/>
      <c r="G421" s="735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</row>
    <row r="422" spans="1:27" s="110" customFormat="1">
      <c r="A422" s="65"/>
      <c r="B422" s="65"/>
      <c r="C422" s="64"/>
      <c r="D422" s="576"/>
      <c r="E422" s="64"/>
      <c r="F422" s="609"/>
      <c r="G422" s="735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</row>
    <row r="423" spans="1:27" s="110" customFormat="1">
      <c r="A423" s="65"/>
      <c r="B423" s="65"/>
      <c r="C423" s="64"/>
      <c r="D423" s="576"/>
      <c r="E423" s="64"/>
      <c r="F423" s="609"/>
      <c r="G423" s="735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</row>
    <row r="424" spans="1:27" s="110" customFormat="1">
      <c r="A424" s="65"/>
      <c r="B424" s="65"/>
      <c r="C424" s="64"/>
      <c r="D424" s="576"/>
      <c r="E424" s="64"/>
      <c r="F424" s="609"/>
      <c r="G424" s="735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</row>
    <row r="425" spans="1:27" s="110" customFormat="1">
      <c r="A425" s="65"/>
      <c r="B425" s="65"/>
      <c r="C425" s="64"/>
      <c r="D425" s="576"/>
      <c r="E425" s="64"/>
      <c r="F425" s="609"/>
      <c r="G425" s="735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</row>
    <row r="426" spans="1:27" s="110" customFormat="1">
      <c r="A426" s="65"/>
      <c r="B426" s="65"/>
      <c r="C426" s="64"/>
      <c r="D426" s="576"/>
      <c r="E426" s="64"/>
      <c r="F426" s="609"/>
      <c r="G426" s="735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</row>
    <row r="427" spans="1:27" s="110" customFormat="1">
      <c r="A427" s="65"/>
      <c r="B427" s="65"/>
      <c r="C427" s="64"/>
      <c r="D427" s="576"/>
      <c r="E427" s="64"/>
      <c r="F427" s="609"/>
      <c r="G427" s="735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</row>
    <row r="428" spans="1:27" s="110" customFormat="1">
      <c r="A428" s="65"/>
      <c r="B428" s="65"/>
      <c r="C428" s="64"/>
      <c r="D428" s="576"/>
      <c r="E428" s="64"/>
      <c r="F428" s="609"/>
      <c r="G428" s="735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</row>
    <row r="429" spans="1:27" s="110" customFormat="1">
      <c r="A429" s="65"/>
      <c r="B429" s="65"/>
      <c r="C429" s="64"/>
      <c r="D429" s="576"/>
      <c r="E429" s="64"/>
      <c r="F429" s="609"/>
      <c r="G429" s="735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</row>
    <row r="430" spans="1:27" s="110" customFormat="1">
      <c r="A430" s="65"/>
      <c r="B430" s="65"/>
      <c r="C430" s="64"/>
      <c r="D430" s="576"/>
      <c r="E430" s="64"/>
      <c r="F430" s="609"/>
      <c r="G430" s="735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</row>
    <row r="431" spans="1:27" s="110" customFormat="1">
      <c r="A431" s="65"/>
      <c r="B431" s="65"/>
      <c r="C431" s="64"/>
      <c r="D431" s="576"/>
      <c r="E431" s="64"/>
      <c r="F431" s="609"/>
      <c r="G431" s="735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</row>
    <row r="432" spans="1:27" s="110" customFormat="1">
      <c r="A432" s="65"/>
      <c r="B432" s="65"/>
      <c r="C432" s="64"/>
      <c r="D432" s="576"/>
      <c r="E432" s="64"/>
      <c r="F432" s="609"/>
      <c r="G432" s="735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</row>
    <row r="433" spans="1:27" s="110" customFormat="1">
      <c r="A433" s="65"/>
      <c r="B433" s="65"/>
      <c r="C433" s="64"/>
      <c r="D433" s="576"/>
      <c r="E433" s="64"/>
      <c r="F433" s="609"/>
      <c r="G433" s="735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</row>
    <row r="434" spans="1:27" s="110" customFormat="1">
      <c r="A434" s="65"/>
      <c r="B434" s="65"/>
      <c r="C434" s="64"/>
      <c r="D434" s="576"/>
      <c r="E434" s="64"/>
      <c r="F434" s="609"/>
      <c r="G434" s="735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</row>
    <row r="435" spans="1:27" s="110" customFormat="1">
      <c r="A435" s="65"/>
      <c r="B435" s="65"/>
      <c r="C435" s="64"/>
      <c r="D435" s="576"/>
      <c r="E435" s="64"/>
      <c r="F435" s="609"/>
      <c r="G435" s="735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</row>
    <row r="436" spans="1:27" s="110" customFormat="1">
      <c r="A436" s="65"/>
      <c r="B436" s="65"/>
      <c r="C436" s="64"/>
      <c r="D436" s="576"/>
      <c r="E436" s="64"/>
      <c r="F436" s="609"/>
      <c r="G436" s="735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</row>
    <row r="437" spans="1:27" s="110" customFormat="1">
      <c r="A437" s="65"/>
      <c r="B437" s="65"/>
      <c r="C437" s="64"/>
      <c r="D437" s="576"/>
      <c r="E437" s="64"/>
      <c r="F437" s="609"/>
      <c r="G437" s="735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</row>
    <row r="438" spans="1:27" s="110" customFormat="1">
      <c r="A438" s="65"/>
      <c r="B438" s="65"/>
      <c r="C438" s="64"/>
      <c r="D438" s="576"/>
      <c r="E438" s="64"/>
      <c r="F438" s="609"/>
      <c r="G438" s="735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</row>
    <row r="439" spans="1:27" s="110" customFormat="1">
      <c r="A439" s="65"/>
      <c r="B439" s="65"/>
      <c r="C439" s="64"/>
      <c r="D439" s="576"/>
      <c r="E439" s="64"/>
      <c r="F439" s="609"/>
      <c r="G439" s="735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</row>
    <row r="440" spans="1:27" s="110" customFormat="1">
      <c r="A440" s="65"/>
      <c r="B440" s="65"/>
      <c r="C440" s="64"/>
      <c r="D440" s="576"/>
      <c r="E440" s="64"/>
      <c r="F440" s="609"/>
      <c r="G440" s="735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</row>
    <row r="441" spans="1:27" s="110" customFormat="1">
      <c r="A441" s="65"/>
      <c r="B441" s="65"/>
      <c r="C441" s="64"/>
      <c r="D441" s="576"/>
      <c r="E441" s="64"/>
      <c r="F441" s="609"/>
      <c r="G441" s="735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</row>
    <row r="442" spans="1:27" s="110" customFormat="1">
      <c r="A442" s="65"/>
      <c r="B442" s="65"/>
      <c r="C442" s="64"/>
      <c r="D442" s="576"/>
      <c r="E442" s="64"/>
      <c r="F442" s="609"/>
      <c r="G442" s="735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</row>
    <row r="443" spans="1:27" s="110" customFormat="1">
      <c r="A443" s="65"/>
      <c r="B443" s="65"/>
      <c r="C443" s="64"/>
      <c r="D443" s="576"/>
      <c r="E443" s="64"/>
      <c r="F443" s="609"/>
      <c r="G443" s="735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</row>
    <row r="444" spans="1:27" s="110" customFormat="1">
      <c r="A444" s="65"/>
      <c r="B444" s="65"/>
      <c r="C444" s="64"/>
      <c r="D444" s="576"/>
      <c r="E444" s="64"/>
      <c r="F444" s="609"/>
      <c r="G444" s="735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</row>
    <row r="445" spans="1:27" s="110" customFormat="1">
      <c r="A445" s="65"/>
      <c r="B445" s="65"/>
      <c r="C445" s="64"/>
      <c r="D445" s="576"/>
      <c r="E445" s="64"/>
      <c r="F445" s="609"/>
      <c r="G445" s="735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</row>
    <row r="446" spans="1:27" s="110" customFormat="1">
      <c r="A446" s="65"/>
      <c r="B446" s="65"/>
      <c r="C446" s="64"/>
      <c r="D446" s="576"/>
      <c r="E446" s="64"/>
      <c r="F446" s="609"/>
      <c r="G446" s="735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</row>
    <row r="447" spans="1:27" s="110" customFormat="1">
      <c r="A447" s="65"/>
      <c r="B447" s="65"/>
      <c r="C447" s="64"/>
      <c r="D447" s="576"/>
      <c r="E447" s="64"/>
      <c r="F447" s="609"/>
      <c r="G447" s="735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</row>
    <row r="448" spans="1:27" s="110" customFormat="1">
      <c r="A448" s="65"/>
      <c r="B448" s="65"/>
      <c r="C448" s="64"/>
      <c r="D448" s="576"/>
      <c r="E448" s="64"/>
      <c r="F448" s="609"/>
      <c r="G448" s="735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</row>
    <row r="449" spans="1:27" s="110" customFormat="1">
      <c r="A449" s="65"/>
      <c r="B449" s="65"/>
      <c r="C449" s="64"/>
      <c r="D449" s="576"/>
      <c r="E449" s="64"/>
      <c r="F449" s="609"/>
      <c r="G449" s="735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</row>
    <row r="450" spans="1:27" s="110" customFormat="1">
      <c r="A450" s="65"/>
      <c r="B450" s="65"/>
      <c r="C450" s="64"/>
      <c r="D450" s="576"/>
      <c r="E450" s="64"/>
      <c r="F450" s="609"/>
      <c r="G450" s="735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</row>
    <row r="451" spans="1:27" s="110" customFormat="1">
      <c r="A451" s="65"/>
      <c r="B451" s="65"/>
      <c r="C451" s="64"/>
      <c r="D451" s="576"/>
      <c r="E451" s="64"/>
      <c r="F451" s="609"/>
      <c r="G451" s="735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</row>
    <row r="452" spans="1:27" s="110" customFormat="1">
      <c r="A452" s="65"/>
      <c r="B452" s="65"/>
      <c r="C452" s="64"/>
      <c r="D452" s="576"/>
      <c r="E452" s="64"/>
      <c r="F452" s="609"/>
      <c r="G452" s="735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</row>
    <row r="453" spans="1:27" s="110" customFormat="1">
      <c r="A453" s="65"/>
      <c r="B453" s="65"/>
      <c r="C453" s="64"/>
      <c r="D453" s="576"/>
      <c r="E453" s="64"/>
      <c r="F453" s="609"/>
      <c r="G453" s="735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</row>
    <row r="454" spans="1:27" s="110" customFormat="1">
      <c r="A454" s="65"/>
      <c r="B454" s="65"/>
      <c r="C454" s="64"/>
      <c r="D454" s="576"/>
      <c r="E454" s="64"/>
      <c r="F454" s="609"/>
      <c r="G454" s="735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</row>
    <row r="455" spans="1:27" s="110" customFormat="1">
      <c r="A455" s="65"/>
      <c r="B455" s="65"/>
      <c r="C455" s="64"/>
      <c r="D455" s="576"/>
      <c r="E455" s="64"/>
      <c r="F455" s="609"/>
      <c r="G455" s="735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</row>
    <row r="456" spans="1:27" s="110" customFormat="1">
      <c r="A456" s="65"/>
      <c r="B456" s="65"/>
      <c r="C456" s="64"/>
      <c r="D456" s="576"/>
      <c r="E456" s="64"/>
      <c r="F456" s="609"/>
      <c r="G456" s="735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</row>
    <row r="457" spans="1:27" s="110" customFormat="1">
      <c r="A457" s="65"/>
      <c r="B457" s="65"/>
      <c r="C457" s="64"/>
      <c r="D457" s="576"/>
      <c r="E457" s="64"/>
      <c r="F457" s="609"/>
      <c r="G457" s="735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</row>
    <row r="458" spans="1:27" s="110" customFormat="1">
      <c r="A458" s="65"/>
      <c r="B458" s="65"/>
      <c r="C458" s="64"/>
      <c r="D458" s="576"/>
      <c r="E458" s="64"/>
      <c r="F458" s="609"/>
      <c r="G458" s="735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</row>
    <row r="459" spans="1:27" s="110" customFormat="1">
      <c r="A459" s="65"/>
      <c r="B459" s="65"/>
      <c r="C459" s="64"/>
      <c r="D459" s="576"/>
      <c r="E459" s="64"/>
      <c r="F459" s="609"/>
      <c r="G459" s="735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</row>
    <row r="460" spans="1:27" s="110" customFormat="1">
      <c r="A460" s="65"/>
      <c r="B460" s="65"/>
      <c r="C460" s="64"/>
      <c r="D460" s="576"/>
      <c r="E460" s="64"/>
      <c r="F460" s="609"/>
      <c r="G460" s="735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</row>
    <row r="461" spans="1:27" s="110" customFormat="1">
      <c r="A461" s="65"/>
      <c r="B461" s="65"/>
      <c r="C461" s="64"/>
      <c r="D461" s="576"/>
      <c r="E461" s="64"/>
      <c r="F461" s="609"/>
      <c r="G461" s="735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</row>
    <row r="462" spans="1:27" s="110" customFormat="1">
      <c r="A462" s="65"/>
      <c r="B462" s="65"/>
      <c r="C462" s="64"/>
      <c r="D462" s="576"/>
      <c r="E462" s="64"/>
      <c r="F462" s="609"/>
      <c r="G462" s="735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</row>
    <row r="463" spans="1:27" s="110" customFormat="1">
      <c r="A463" s="65"/>
      <c r="B463" s="65"/>
      <c r="C463" s="64"/>
      <c r="D463" s="576"/>
      <c r="E463" s="64"/>
      <c r="F463" s="609"/>
      <c r="G463" s="735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</row>
    <row r="464" spans="1:27" s="110" customFormat="1">
      <c r="A464" s="65"/>
      <c r="B464" s="65"/>
      <c r="C464" s="64"/>
      <c r="D464" s="576"/>
      <c r="E464" s="64"/>
      <c r="F464" s="609"/>
      <c r="G464" s="735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</row>
    <row r="465" spans="1:27" s="110" customFormat="1">
      <c r="A465" s="65"/>
      <c r="B465" s="65"/>
      <c r="C465" s="64"/>
      <c r="D465" s="576"/>
      <c r="E465" s="64"/>
      <c r="F465" s="609"/>
      <c r="G465" s="735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</row>
    <row r="466" spans="1:27" s="110" customFormat="1">
      <c r="A466" s="65"/>
      <c r="B466" s="65"/>
      <c r="C466" s="64"/>
      <c r="D466" s="576"/>
      <c r="E466" s="64"/>
      <c r="F466" s="609"/>
      <c r="G466" s="735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</row>
    <row r="467" spans="1:27" s="110" customFormat="1">
      <c r="A467" s="65"/>
      <c r="B467" s="65"/>
      <c r="C467" s="64"/>
      <c r="D467" s="576"/>
      <c r="E467" s="64"/>
      <c r="F467" s="609"/>
      <c r="G467" s="735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</row>
    <row r="468" spans="1:27" s="110" customFormat="1">
      <c r="A468" s="65"/>
      <c r="B468" s="65"/>
      <c r="C468" s="64"/>
      <c r="D468" s="576"/>
      <c r="E468" s="64"/>
      <c r="F468" s="609"/>
      <c r="G468" s="735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</row>
    <row r="469" spans="1:27" s="110" customFormat="1">
      <c r="A469" s="65"/>
      <c r="B469" s="65"/>
      <c r="C469" s="64"/>
      <c r="D469" s="576"/>
      <c r="E469" s="64"/>
      <c r="F469" s="609"/>
      <c r="G469" s="735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</row>
    <row r="470" spans="1:27" s="110" customFormat="1">
      <c r="A470" s="65"/>
      <c r="B470" s="65"/>
      <c r="C470" s="64"/>
      <c r="D470" s="576"/>
      <c r="E470" s="64"/>
      <c r="F470" s="609"/>
      <c r="G470" s="735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</row>
    <row r="471" spans="1:27" s="110" customFormat="1">
      <c r="A471" s="65"/>
      <c r="B471" s="65"/>
      <c r="C471" s="64"/>
      <c r="D471" s="576"/>
      <c r="E471" s="64"/>
      <c r="F471" s="609"/>
      <c r="G471" s="735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</row>
    <row r="472" spans="1:27" s="110" customFormat="1">
      <c r="A472" s="65"/>
      <c r="B472" s="65"/>
      <c r="C472" s="64"/>
      <c r="D472" s="576"/>
      <c r="E472" s="64"/>
      <c r="F472" s="609"/>
      <c r="G472" s="735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</row>
    <row r="473" spans="1:27" s="110" customFormat="1">
      <c r="A473" s="65"/>
      <c r="B473" s="65"/>
      <c r="C473" s="64"/>
      <c r="D473" s="576"/>
      <c r="E473" s="64"/>
      <c r="F473" s="609"/>
      <c r="G473" s="735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</row>
    <row r="474" spans="1:27" s="110" customFormat="1">
      <c r="A474" s="65"/>
      <c r="B474" s="65"/>
      <c r="C474" s="64"/>
      <c r="D474" s="576"/>
      <c r="E474" s="64"/>
      <c r="F474" s="609"/>
      <c r="G474" s="735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</row>
    <row r="475" spans="1:27" s="110" customFormat="1">
      <c r="A475" s="65"/>
      <c r="B475" s="65"/>
      <c r="C475" s="64"/>
      <c r="D475" s="576"/>
      <c r="E475" s="64"/>
      <c r="F475" s="609"/>
      <c r="G475" s="735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</row>
    <row r="476" spans="1:27" s="110" customFormat="1">
      <c r="A476" s="65"/>
      <c r="B476" s="65"/>
      <c r="C476" s="64"/>
      <c r="D476" s="576"/>
      <c r="E476" s="64"/>
      <c r="F476" s="609"/>
      <c r="G476" s="735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</row>
    <row r="477" spans="1:27" s="110" customFormat="1">
      <c r="A477" s="65"/>
      <c r="B477" s="65"/>
      <c r="C477" s="64"/>
      <c r="D477" s="576"/>
      <c r="E477" s="64"/>
      <c r="F477" s="609"/>
      <c r="G477" s="735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</row>
    <row r="478" spans="1:27" s="110" customFormat="1">
      <c r="A478" s="65"/>
      <c r="B478" s="65"/>
      <c r="C478" s="64"/>
      <c r="D478" s="576"/>
      <c r="E478" s="64"/>
      <c r="F478" s="609"/>
      <c r="G478" s="735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</row>
    <row r="479" spans="1:27" s="110" customFormat="1">
      <c r="A479" s="65"/>
      <c r="B479" s="65"/>
      <c r="C479" s="64"/>
      <c r="D479" s="576"/>
      <c r="E479" s="64"/>
      <c r="F479" s="609"/>
      <c r="G479" s="735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</row>
    <row r="480" spans="1:27" s="110" customFormat="1">
      <c r="A480" s="65"/>
      <c r="B480" s="65"/>
      <c r="C480" s="64"/>
      <c r="D480" s="576"/>
      <c r="E480" s="64"/>
      <c r="F480" s="609"/>
      <c r="G480" s="735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</row>
    <row r="481" spans="1:27" s="110" customFormat="1">
      <c r="A481" s="65"/>
      <c r="B481" s="65"/>
      <c r="C481" s="64"/>
      <c r="D481" s="576"/>
      <c r="E481" s="64"/>
      <c r="F481" s="609"/>
      <c r="G481" s="735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</row>
    <row r="482" spans="1:27" s="110" customFormat="1">
      <c r="A482" s="65"/>
      <c r="B482" s="65"/>
      <c r="C482" s="64"/>
      <c r="D482" s="576"/>
      <c r="E482" s="64"/>
      <c r="F482" s="609"/>
      <c r="G482" s="735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</row>
    <row r="483" spans="1:27" s="110" customFormat="1">
      <c r="A483" s="65"/>
      <c r="B483" s="65"/>
      <c r="C483" s="64"/>
      <c r="D483" s="576"/>
      <c r="E483" s="64"/>
      <c r="F483" s="609"/>
      <c r="G483" s="735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</row>
    <row r="484" spans="1:27" s="110" customFormat="1">
      <c r="A484" s="65"/>
      <c r="B484" s="65"/>
      <c r="C484" s="64"/>
      <c r="D484" s="576"/>
      <c r="E484" s="64"/>
      <c r="F484" s="609"/>
      <c r="G484" s="735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</row>
    <row r="485" spans="1:27" s="110" customFormat="1">
      <c r="A485" s="65"/>
      <c r="B485" s="65"/>
      <c r="C485" s="64"/>
      <c r="D485" s="576"/>
      <c r="E485" s="64"/>
      <c r="F485" s="609"/>
      <c r="G485" s="735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</row>
    <row r="486" spans="1:27" s="110" customFormat="1">
      <c r="A486" s="65"/>
      <c r="B486" s="65"/>
      <c r="C486" s="64"/>
      <c r="D486" s="576"/>
      <c r="E486" s="64"/>
      <c r="F486" s="609"/>
      <c r="G486" s="735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</row>
    <row r="487" spans="1:27" s="110" customFormat="1">
      <c r="A487" s="65"/>
      <c r="B487" s="65"/>
      <c r="C487" s="64"/>
      <c r="D487" s="576"/>
      <c r="E487" s="64"/>
      <c r="F487" s="609"/>
      <c r="G487" s="735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</row>
    <row r="488" spans="1:27" s="110" customFormat="1">
      <c r="A488" s="65"/>
      <c r="B488" s="65"/>
      <c r="C488" s="64"/>
      <c r="D488" s="576"/>
      <c r="E488" s="64"/>
      <c r="F488" s="609"/>
      <c r="G488" s="735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</row>
    <row r="489" spans="1:27" s="110" customFormat="1">
      <c r="A489" s="65"/>
      <c r="B489" s="65"/>
      <c r="C489" s="64"/>
      <c r="D489" s="576"/>
      <c r="E489" s="64"/>
      <c r="F489" s="609"/>
      <c r="G489" s="735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</row>
    <row r="490" spans="1:27" s="110" customFormat="1">
      <c r="A490" s="65"/>
      <c r="B490" s="65"/>
      <c r="C490" s="64"/>
      <c r="D490" s="576"/>
      <c r="E490" s="64"/>
      <c r="F490" s="609"/>
      <c r="G490" s="735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</row>
    <row r="491" spans="1:27" s="110" customFormat="1">
      <c r="A491" s="65"/>
      <c r="B491" s="65"/>
      <c r="C491" s="64"/>
      <c r="D491" s="576"/>
      <c r="E491" s="64"/>
      <c r="F491" s="609"/>
      <c r="G491" s="735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</row>
    <row r="492" spans="1:27" s="110" customFormat="1">
      <c r="A492" s="65"/>
      <c r="B492" s="65"/>
      <c r="C492" s="64"/>
      <c r="D492" s="576"/>
      <c r="E492" s="64"/>
      <c r="F492" s="609"/>
      <c r="G492" s="735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</row>
    <row r="493" spans="1:27" s="110" customFormat="1">
      <c r="A493" s="65"/>
      <c r="B493" s="65"/>
      <c r="C493" s="64"/>
      <c r="D493" s="576"/>
      <c r="E493" s="64"/>
      <c r="F493" s="609"/>
      <c r="G493" s="735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</row>
    <row r="494" spans="1:27" s="110" customFormat="1">
      <c r="A494" s="65"/>
      <c r="B494" s="65"/>
      <c r="C494" s="64"/>
      <c r="D494" s="576"/>
      <c r="E494" s="64"/>
      <c r="F494" s="609"/>
      <c r="G494" s="735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</row>
    <row r="495" spans="1:27" s="110" customFormat="1">
      <c r="A495" s="65"/>
      <c r="B495" s="65"/>
      <c r="C495" s="64"/>
      <c r="D495" s="576"/>
      <c r="E495" s="64"/>
      <c r="F495" s="609"/>
      <c r="G495" s="735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</row>
    <row r="496" spans="1:27" s="110" customFormat="1">
      <c r="A496" s="65"/>
      <c r="B496" s="65"/>
      <c r="C496" s="64"/>
      <c r="D496" s="576"/>
      <c r="E496" s="64"/>
      <c r="F496" s="609"/>
      <c r="G496" s="735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</row>
    <row r="497" spans="1:27" s="110" customFormat="1">
      <c r="A497" s="65"/>
      <c r="B497" s="65"/>
      <c r="C497" s="64"/>
      <c r="D497" s="576"/>
      <c r="E497" s="64"/>
      <c r="F497" s="609"/>
      <c r="G497" s="735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</row>
    <row r="498" spans="1:27" s="110" customFormat="1">
      <c r="A498" s="65"/>
      <c r="B498" s="65"/>
      <c r="C498" s="64"/>
      <c r="D498" s="576"/>
      <c r="E498" s="64"/>
      <c r="F498" s="609"/>
      <c r="G498" s="735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</row>
    <row r="499" spans="1:27" s="110" customFormat="1">
      <c r="A499" s="65"/>
      <c r="B499" s="65"/>
      <c r="C499" s="64"/>
      <c r="D499" s="576"/>
      <c r="E499" s="64"/>
      <c r="F499" s="609"/>
      <c r="G499" s="735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</row>
    <row r="500" spans="1:27" s="110" customFormat="1">
      <c r="A500" s="65"/>
      <c r="B500" s="65"/>
      <c r="C500" s="64"/>
      <c r="D500" s="576"/>
      <c r="E500" s="64"/>
      <c r="F500" s="609"/>
      <c r="G500" s="735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</row>
    <row r="501" spans="1:27" s="110" customFormat="1">
      <c r="A501" s="65"/>
      <c r="B501" s="65"/>
      <c r="C501" s="64"/>
      <c r="D501" s="576"/>
      <c r="E501" s="64"/>
      <c r="F501" s="609"/>
      <c r="G501" s="735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</row>
    <row r="502" spans="1:27" s="110" customFormat="1">
      <c r="A502" s="65"/>
      <c r="B502" s="65"/>
      <c r="C502" s="64"/>
      <c r="D502" s="576"/>
      <c r="E502" s="64"/>
      <c r="F502" s="609"/>
      <c r="G502" s="735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</row>
    <row r="503" spans="1:27" s="110" customFormat="1">
      <c r="A503" s="65"/>
      <c r="B503" s="65"/>
      <c r="C503" s="64"/>
      <c r="D503" s="576"/>
      <c r="E503" s="64"/>
      <c r="F503" s="609"/>
      <c r="G503" s="735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</row>
    <row r="504" spans="1:27" s="110" customFormat="1">
      <c r="A504" s="65"/>
      <c r="B504" s="65"/>
      <c r="C504" s="64"/>
      <c r="D504" s="576"/>
      <c r="E504" s="64"/>
      <c r="F504" s="609"/>
      <c r="G504" s="735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</row>
    <row r="505" spans="1:27" s="110" customFormat="1">
      <c r="A505" s="65"/>
      <c r="B505" s="65"/>
      <c r="C505" s="64"/>
      <c r="D505" s="576"/>
      <c r="E505" s="64"/>
      <c r="F505" s="609"/>
      <c r="G505" s="735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</row>
    <row r="506" spans="1:27" s="110" customFormat="1">
      <c r="A506" s="65"/>
      <c r="B506" s="65"/>
      <c r="C506" s="64"/>
      <c r="D506" s="576"/>
      <c r="E506" s="64"/>
      <c r="F506" s="609"/>
      <c r="G506" s="73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</row>
    <row r="507" spans="1:27" s="110" customFormat="1">
      <c r="A507" s="65"/>
      <c r="B507" s="65"/>
      <c r="C507" s="64"/>
      <c r="D507" s="576"/>
      <c r="E507" s="64"/>
      <c r="F507" s="609"/>
      <c r="G507" s="735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</row>
    <row r="508" spans="1:27" s="110" customFormat="1">
      <c r="A508" s="65"/>
      <c r="B508" s="65"/>
      <c r="C508" s="64"/>
      <c r="D508" s="576"/>
      <c r="E508" s="64"/>
      <c r="F508" s="609"/>
      <c r="G508" s="735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</row>
    <row r="509" spans="1:27" s="110" customFormat="1">
      <c r="A509" s="65"/>
      <c r="B509" s="65"/>
      <c r="C509" s="64"/>
      <c r="D509" s="576"/>
      <c r="E509" s="64"/>
      <c r="F509" s="609"/>
      <c r="G509" s="735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</row>
    <row r="510" spans="1:27" s="110" customFormat="1">
      <c r="A510" s="65"/>
      <c r="B510" s="65"/>
      <c r="C510" s="64"/>
      <c r="D510" s="576"/>
      <c r="E510" s="64"/>
      <c r="F510" s="609"/>
      <c r="G510" s="735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</row>
    <row r="511" spans="1:27" s="110" customFormat="1">
      <c r="A511" s="65"/>
      <c r="B511" s="65"/>
      <c r="C511" s="64"/>
      <c r="D511" s="576"/>
      <c r="E511" s="64"/>
      <c r="F511" s="609"/>
      <c r="G511" s="735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</row>
    <row r="512" spans="1:27" s="110" customFormat="1">
      <c r="A512" s="65"/>
      <c r="B512" s="65"/>
      <c r="C512" s="64"/>
      <c r="D512" s="576"/>
      <c r="E512" s="64"/>
      <c r="F512" s="609"/>
      <c r="G512" s="735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</row>
    <row r="513" spans="1:27" s="110" customFormat="1">
      <c r="A513" s="65"/>
      <c r="B513" s="65"/>
      <c r="C513" s="64"/>
      <c r="D513" s="576"/>
      <c r="E513" s="64"/>
      <c r="F513" s="609"/>
      <c r="G513" s="735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</row>
    <row r="514" spans="1:27" s="110" customFormat="1">
      <c r="A514" s="65"/>
      <c r="B514" s="65"/>
      <c r="C514" s="64"/>
      <c r="D514" s="576"/>
      <c r="E514" s="64"/>
      <c r="F514" s="609"/>
      <c r="G514" s="735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</row>
    <row r="515" spans="1:27" s="110" customFormat="1">
      <c r="A515" s="65"/>
      <c r="B515" s="65"/>
      <c r="C515" s="64"/>
      <c r="D515" s="576"/>
      <c r="E515" s="64"/>
      <c r="F515" s="609"/>
      <c r="G515" s="735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</row>
    <row r="516" spans="1:27" s="110" customFormat="1">
      <c r="A516" s="65"/>
      <c r="B516" s="65"/>
      <c r="C516" s="64"/>
      <c r="D516" s="576"/>
      <c r="E516" s="64"/>
      <c r="F516" s="609"/>
      <c r="G516" s="735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</row>
    <row r="517" spans="1:27" s="110" customFormat="1">
      <c r="A517" s="65"/>
      <c r="B517" s="65"/>
      <c r="C517" s="64"/>
      <c r="D517" s="576"/>
      <c r="E517" s="64"/>
      <c r="F517" s="609"/>
      <c r="G517" s="735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</row>
    <row r="518" spans="1:27" s="110" customFormat="1">
      <c r="A518" s="65"/>
      <c r="B518" s="65"/>
      <c r="C518" s="64"/>
      <c r="D518" s="576"/>
      <c r="E518" s="64"/>
      <c r="F518" s="609"/>
      <c r="G518" s="735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</row>
    <row r="519" spans="1:27" s="110" customFormat="1">
      <c r="A519" s="65"/>
      <c r="B519" s="65"/>
      <c r="C519" s="64"/>
      <c r="D519" s="576"/>
      <c r="E519" s="64"/>
      <c r="F519" s="609"/>
      <c r="G519" s="735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</row>
    <row r="520" spans="1:27" s="110" customFormat="1">
      <c r="A520" s="65"/>
      <c r="B520" s="65"/>
      <c r="C520" s="64"/>
      <c r="D520" s="576"/>
      <c r="E520" s="64"/>
      <c r="F520" s="609"/>
      <c r="G520" s="735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</row>
    <row r="521" spans="1:27" s="110" customFormat="1">
      <c r="A521" s="65"/>
      <c r="B521" s="65"/>
      <c r="C521" s="64"/>
      <c r="D521" s="576"/>
      <c r="E521" s="64"/>
      <c r="F521" s="609"/>
      <c r="G521" s="735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</row>
    <row r="522" spans="1:27" s="110" customFormat="1">
      <c r="A522" s="65"/>
      <c r="B522" s="65"/>
      <c r="C522" s="64"/>
      <c r="D522" s="576"/>
      <c r="E522" s="64"/>
      <c r="F522" s="609"/>
      <c r="G522" s="735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</row>
    <row r="523" spans="1:27" s="110" customFormat="1">
      <c r="A523" s="65"/>
      <c r="B523" s="65"/>
      <c r="C523" s="64"/>
      <c r="D523" s="576"/>
      <c r="E523" s="64"/>
      <c r="F523" s="609"/>
      <c r="G523" s="735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</row>
    <row r="524" spans="1:27" s="110" customFormat="1">
      <c r="A524" s="65"/>
      <c r="B524" s="65"/>
      <c r="C524" s="64"/>
      <c r="D524" s="576"/>
      <c r="E524" s="64"/>
      <c r="F524" s="609"/>
      <c r="G524" s="735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</row>
    <row r="525" spans="1:27" s="110" customFormat="1">
      <c r="A525" s="65"/>
      <c r="B525" s="65"/>
      <c r="C525" s="64"/>
      <c r="D525" s="576"/>
      <c r="E525" s="64"/>
      <c r="F525" s="609"/>
      <c r="G525" s="735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</row>
    <row r="526" spans="1:27" s="110" customFormat="1">
      <c r="A526" s="65"/>
      <c r="B526" s="65"/>
      <c r="C526" s="64"/>
      <c r="D526" s="576"/>
      <c r="E526" s="64"/>
      <c r="F526" s="609"/>
      <c r="G526" s="735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</row>
    <row r="527" spans="1:27" s="110" customFormat="1">
      <c r="A527" s="65"/>
      <c r="B527" s="65"/>
      <c r="C527" s="64"/>
      <c r="D527" s="576"/>
      <c r="E527" s="64"/>
      <c r="F527" s="609"/>
      <c r="G527" s="735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</row>
    <row r="528" spans="1:27" s="110" customFormat="1">
      <c r="A528" s="65"/>
      <c r="B528" s="65"/>
      <c r="C528" s="64"/>
      <c r="D528" s="576"/>
      <c r="E528" s="64"/>
      <c r="F528" s="609"/>
      <c r="G528" s="735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</row>
    <row r="529" spans="1:27" s="110" customFormat="1">
      <c r="A529" s="65"/>
      <c r="B529" s="65"/>
      <c r="C529" s="64"/>
      <c r="D529" s="576"/>
      <c r="E529" s="64"/>
      <c r="F529" s="609"/>
      <c r="G529" s="735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</row>
    <row r="530" spans="1:27" s="110" customFormat="1">
      <c r="A530" s="65"/>
      <c r="B530" s="65"/>
      <c r="C530" s="64"/>
      <c r="D530" s="576"/>
      <c r="E530" s="64"/>
      <c r="F530" s="609"/>
      <c r="G530" s="735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</row>
    <row r="531" spans="1:27" s="110" customFormat="1">
      <c r="A531" s="65"/>
      <c r="B531" s="65"/>
      <c r="C531" s="64"/>
      <c r="D531" s="576"/>
      <c r="E531" s="64"/>
      <c r="F531" s="609"/>
      <c r="G531" s="735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</row>
    <row r="532" spans="1:27" s="110" customFormat="1">
      <c r="A532" s="65"/>
      <c r="B532" s="65"/>
      <c r="C532" s="64"/>
      <c r="D532" s="576"/>
      <c r="E532" s="64"/>
      <c r="F532" s="609"/>
      <c r="G532" s="735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</row>
    <row r="533" spans="1:27" s="110" customFormat="1">
      <c r="A533" s="65"/>
      <c r="B533" s="65"/>
      <c r="C533" s="64"/>
      <c r="D533" s="576"/>
      <c r="E533" s="64"/>
      <c r="F533" s="609"/>
      <c r="G533" s="735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</row>
    <row r="534" spans="1:27" s="110" customFormat="1">
      <c r="A534" s="65"/>
      <c r="B534" s="65"/>
      <c r="C534" s="64"/>
      <c r="D534" s="576"/>
      <c r="E534" s="64"/>
      <c r="F534" s="609"/>
      <c r="G534" s="735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</row>
    <row r="535" spans="1:27" s="110" customFormat="1">
      <c r="A535" s="65"/>
      <c r="B535" s="65"/>
      <c r="C535" s="64"/>
      <c r="D535" s="576"/>
      <c r="E535" s="64"/>
      <c r="F535" s="609"/>
      <c r="G535" s="735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</row>
    <row r="536" spans="1:27" s="110" customFormat="1">
      <c r="A536" s="65"/>
      <c r="B536" s="65"/>
      <c r="C536" s="64"/>
      <c r="D536" s="576"/>
      <c r="E536" s="64"/>
      <c r="F536" s="609"/>
      <c r="G536" s="735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</row>
    <row r="537" spans="1:27" s="110" customFormat="1">
      <c r="A537" s="65"/>
      <c r="B537" s="65"/>
      <c r="C537" s="64"/>
      <c r="D537" s="576"/>
      <c r="E537" s="64"/>
      <c r="F537" s="609"/>
      <c r="G537" s="735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</row>
    <row r="538" spans="1:27" s="110" customFormat="1">
      <c r="A538" s="65"/>
      <c r="B538" s="65"/>
      <c r="C538" s="64"/>
      <c r="D538" s="576"/>
      <c r="E538" s="64"/>
      <c r="F538" s="609"/>
      <c r="G538" s="735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</row>
    <row r="539" spans="1:27" s="110" customFormat="1">
      <c r="A539" s="65"/>
      <c r="B539" s="65"/>
      <c r="C539" s="64"/>
      <c r="D539" s="576"/>
      <c r="E539" s="64"/>
      <c r="F539" s="609"/>
      <c r="G539" s="735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</row>
    <row r="540" spans="1:27" s="110" customFormat="1">
      <c r="A540" s="65"/>
      <c r="B540" s="65"/>
      <c r="C540" s="64"/>
      <c r="D540" s="576"/>
      <c r="E540" s="64"/>
      <c r="F540" s="609"/>
      <c r="G540" s="735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</row>
    <row r="541" spans="1:27" s="110" customFormat="1">
      <c r="A541" s="65"/>
      <c r="B541" s="65"/>
      <c r="C541" s="64"/>
      <c r="D541" s="576"/>
      <c r="E541" s="64"/>
      <c r="F541" s="609"/>
      <c r="G541" s="735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</row>
    <row r="542" spans="1:27" s="110" customFormat="1">
      <c r="A542" s="65"/>
      <c r="B542" s="65"/>
      <c r="C542" s="64"/>
      <c r="D542" s="576"/>
      <c r="E542" s="64"/>
      <c r="F542" s="609"/>
      <c r="G542" s="735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</row>
    <row r="543" spans="1:27" s="110" customFormat="1">
      <c r="A543" s="65"/>
      <c r="B543" s="65"/>
      <c r="C543" s="64"/>
      <c r="D543" s="576"/>
      <c r="E543" s="64"/>
      <c r="F543" s="609"/>
      <c r="G543" s="735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</row>
    <row r="544" spans="1:27" s="110" customFormat="1">
      <c r="A544" s="65"/>
      <c r="B544" s="65"/>
      <c r="C544" s="64"/>
      <c r="D544" s="576"/>
      <c r="E544" s="64"/>
      <c r="F544" s="609"/>
      <c r="G544" s="735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</row>
    <row r="545" spans="1:27" s="110" customFormat="1">
      <c r="A545" s="65"/>
      <c r="B545" s="65"/>
      <c r="C545" s="64"/>
      <c r="D545" s="576"/>
      <c r="E545" s="64"/>
      <c r="F545" s="609"/>
      <c r="G545" s="735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</row>
    <row r="546" spans="1:27" s="110" customFormat="1">
      <c r="A546" s="65"/>
      <c r="B546" s="65"/>
      <c r="C546" s="64"/>
      <c r="D546" s="576"/>
      <c r="E546" s="64"/>
      <c r="F546" s="609"/>
      <c r="G546" s="735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</row>
    <row r="547" spans="1:27" s="110" customFormat="1">
      <c r="A547" s="65"/>
      <c r="B547" s="65"/>
      <c r="C547" s="64"/>
      <c r="D547" s="576"/>
      <c r="E547" s="64"/>
      <c r="F547" s="609"/>
      <c r="G547" s="735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</row>
    <row r="548" spans="1:27" s="110" customFormat="1">
      <c r="A548" s="65"/>
      <c r="B548" s="65"/>
      <c r="C548" s="64"/>
      <c r="D548" s="576"/>
      <c r="E548" s="64"/>
      <c r="F548" s="609"/>
      <c r="G548" s="735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</row>
    <row r="549" spans="1:27" s="110" customFormat="1">
      <c r="A549" s="65"/>
      <c r="B549" s="65"/>
      <c r="C549" s="64"/>
      <c r="D549" s="576"/>
      <c r="E549" s="64"/>
      <c r="F549" s="609"/>
      <c r="G549" s="735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</row>
    <row r="550" spans="1:27" s="110" customFormat="1">
      <c r="A550" s="65"/>
      <c r="B550" s="65"/>
      <c r="C550" s="64"/>
      <c r="D550" s="576"/>
      <c r="E550" s="64"/>
      <c r="F550" s="609"/>
      <c r="G550" s="735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</row>
    <row r="551" spans="1:27" s="110" customFormat="1">
      <c r="A551" s="65"/>
      <c r="B551" s="65"/>
      <c r="C551" s="64"/>
      <c r="D551" s="576"/>
      <c r="E551" s="64"/>
      <c r="F551" s="609"/>
      <c r="G551" s="735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</row>
    <row r="552" spans="1:27" s="110" customFormat="1">
      <c r="A552" s="65"/>
      <c r="B552" s="65"/>
      <c r="C552" s="64"/>
      <c r="D552" s="576"/>
      <c r="E552" s="64"/>
      <c r="F552" s="609"/>
      <c r="G552" s="735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</row>
    <row r="553" spans="1:27" s="110" customFormat="1">
      <c r="A553" s="65"/>
      <c r="B553" s="65"/>
      <c r="C553" s="64"/>
      <c r="D553" s="576"/>
      <c r="E553" s="64"/>
      <c r="F553" s="609"/>
      <c r="G553" s="735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</row>
    <row r="554" spans="1:27" s="110" customFormat="1">
      <c r="A554" s="65"/>
      <c r="B554" s="65"/>
      <c r="C554" s="64"/>
      <c r="D554" s="576"/>
      <c r="E554" s="64"/>
      <c r="F554" s="609"/>
      <c r="G554" s="735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</row>
    <row r="555" spans="1:27" s="110" customFormat="1">
      <c r="A555" s="65"/>
      <c r="B555" s="65"/>
      <c r="C555" s="64"/>
      <c r="D555" s="576"/>
      <c r="E555" s="64"/>
      <c r="F555" s="609"/>
      <c r="G555" s="735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</row>
    <row r="556" spans="1:27" s="110" customFormat="1">
      <c r="A556" s="65"/>
      <c r="B556" s="65"/>
      <c r="C556" s="64"/>
      <c r="D556" s="576"/>
      <c r="E556" s="64"/>
      <c r="F556" s="609"/>
      <c r="G556" s="735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</row>
    <row r="557" spans="1:27" s="110" customFormat="1">
      <c r="A557" s="65"/>
      <c r="B557" s="65"/>
      <c r="C557" s="64"/>
      <c r="D557" s="576"/>
      <c r="E557" s="64"/>
      <c r="F557" s="609"/>
      <c r="G557" s="735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</row>
    <row r="558" spans="1:27" s="110" customFormat="1">
      <c r="A558" s="65"/>
      <c r="B558" s="65"/>
      <c r="C558" s="64"/>
      <c r="D558" s="576"/>
      <c r="E558" s="64"/>
      <c r="F558" s="609"/>
      <c r="G558" s="735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</row>
    <row r="559" spans="1:27" s="110" customFormat="1">
      <c r="A559" s="65"/>
      <c r="B559" s="65"/>
      <c r="C559" s="64"/>
      <c r="D559" s="576"/>
      <c r="E559" s="64"/>
      <c r="F559" s="609"/>
      <c r="G559" s="735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</row>
    <row r="560" spans="1:27" s="110" customFormat="1">
      <c r="A560" s="65"/>
      <c r="B560" s="65"/>
      <c r="C560" s="64"/>
      <c r="D560" s="576"/>
      <c r="E560" s="64"/>
      <c r="F560" s="609"/>
      <c r="G560" s="735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</row>
    <row r="561" spans="1:27" s="110" customFormat="1">
      <c r="A561" s="65"/>
      <c r="B561" s="65"/>
      <c r="C561" s="64"/>
      <c r="D561" s="576"/>
      <c r="E561" s="64"/>
      <c r="F561" s="609"/>
      <c r="G561" s="735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</row>
    <row r="562" spans="1:27" s="110" customFormat="1">
      <c r="A562" s="65"/>
      <c r="B562" s="65"/>
      <c r="C562" s="64"/>
      <c r="D562" s="576"/>
      <c r="E562" s="64"/>
      <c r="F562" s="609"/>
      <c r="G562" s="735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</row>
    <row r="563" spans="1:27" s="110" customFormat="1">
      <c r="A563" s="65"/>
      <c r="B563" s="65"/>
      <c r="C563" s="64"/>
      <c r="D563" s="576"/>
      <c r="E563" s="64"/>
      <c r="F563" s="609"/>
      <c r="G563" s="735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</row>
    <row r="564" spans="1:27" s="110" customFormat="1">
      <c r="A564" s="65"/>
      <c r="B564" s="65"/>
      <c r="C564" s="64"/>
      <c r="D564" s="576"/>
      <c r="E564" s="64"/>
      <c r="F564" s="609"/>
      <c r="G564" s="735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</row>
    <row r="565" spans="1:27" s="110" customFormat="1">
      <c r="A565" s="65"/>
      <c r="B565" s="65"/>
      <c r="C565" s="64"/>
      <c r="D565" s="576"/>
      <c r="E565" s="64"/>
      <c r="F565" s="609"/>
      <c r="G565" s="735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</row>
    <row r="566" spans="1:27" s="110" customFormat="1">
      <c r="A566" s="65"/>
      <c r="B566" s="65"/>
      <c r="C566" s="64"/>
      <c r="D566" s="576"/>
      <c r="E566" s="64"/>
      <c r="F566" s="609"/>
      <c r="G566" s="735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</row>
    <row r="567" spans="1:27" s="110" customFormat="1">
      <c r="A567" s="65"/>
      <c r="B567" s="65"/>
      <c r="C567" s="64"/>
      <c r="D567" s="576"/>
      <c r="E567" s="64"/>
      <c r="F567" s="609"/>
      <c r="G567" s="735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</row>
    <row r="568" spans="1:27" s="110" customFormat="1">
      <c r="A568" s="65"/>
      <c r="B568" s="65"/>
      <c r="C568" s="64"/>
      <c r="D568" s="576"/>
      <c r="E568" s="64"/>
      <c r="F568" s="609"/>
      <c r="G568" s="735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</row>
    <row r="569" spans="1:27" s="110" customFormat="1">
      <c r="A569" s="65"/>
      <c r="B569" s="65"/>
      <c r="C569" s="64"/>
      <c r="D569" s="576"/>
      <c r="E569" s="64"/>
      <c r="F569" s="609"/>
      <c r="G569" s="735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</row>
    <row r="570" spans="1:27" s="110" customFormat="1">
      <c r="A570" s="65"/>
      <c r="B570" s="65"/>
      <c r="C570" s="64"/>
      <c r="D570" s="576"/>
      <c r="E570" s="64"/>
      <c r="F570" s="609"/>
      <c r="G570" s="735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</row>
    <row r="571" spans="1:27" s="110" customFormat="1">
      <c r="A571" s="65"/>
      <c r="B571" s="65"/>
      <c r="C571" s="64"/>
      <c r="D571" s="576"/>
      <c r="E571" s="64"/>
      <c r="F571" s="609"/>
      <c r="G571" s="735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</row>
    <row r="572" spans="1:27" s="110" customFormat="1">
      <c r="A572" s="65"/>
      <c r="B572" s="65"/>
      <c r="C572" s="64"/>
      <c r="D572" s="576"/>
      <c r="E572" s="64"/>
      <c r="F572" s="609"/>
      <c r="G572" s="735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</row>
    <row r="573" spans="1:27" s="110" customFormat="1">
      <c r="A573" s="65"/>
      <c r="B573" s="65"/>
      <c r="C573" s="64"/>
      <c r="D573" s="576"/>
      <c r="E573" s="64"/>
      <c r="F573" s="609"/>
      <c r="G573" s="735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</row>
    <row r="574" spans="1:27" s="110" customFormat="1">
      <c r="A574" s="65"/>
      <c r="B574" s="65"/>
      <c r="C574" s="64"/>
      <c r="D574" s="576"/>
      <c r="E574" s="64"/>
      <c r="F574" s="609"/>
      <c r="G574" s="735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</row>
    <row r="575" spans="1:27" s="110" customFormat="1">
      <c r="A575" s="65"/>
      <c r="B575" s="65"/>
      <c r="C575" s="64"/>
      <c r="D575" s="576"/>
      <c r="E575" s="64"/>
      <c r="F575" s="609"/>
      <c r="G575" s="735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</row>
    <row r="576" spans="1:27" s="110" customFormat="1">
      <c r="A576" s="65"/>
      <c r="B576" s="65"/>
      <c r="C576" s="64"/>
      <c r="D576" s="576"/>
      <c r="E576" s="64"/>
      <c r="F576" s="609"/>
      <c r="G576" s="735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</row>
    <row r="577" spans="1:27" s="110" customFormat="1">
      <c r="A577" s="65"/>
      <c r="B577" s="65"/>
      <c r="C577" s="64"/>
      <c r="D577" s="576"/>
      <c r="E577" s="64"/>
      <c r="F577" s="609"/>
      <c r="G577" s="735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</row>
    <row r="578" spans="1:27" s="110" customFormat="1">
      <c r="A578" s="65"/>
      <c r="B578" s="65"/>
      <c r="C578" s="64"/>
      <c r="D578" s="576"/>
      <c r="E578" s="64"/>
      <c r="F578" s="609"/>
      <c r="G578" s="735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</row>
    <row r="579" spans="1:27" s="110" customFormat="1">
      <c r="A579" s="65"/>
      <c r="B579" s="65"/>
      <c r="C579" s="64"/>
      <c r="D579" s="576"/>
      <c r="E579" s="64"/>
      <c r="F579" s="609"/>
      <c r="G579" s="735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</row>
    <row r="580" spans="1:27" s="110" customFormat="1">
      <c r="A580" s="65"/>
      <c r="B580" s="65"/>
      <c r="C580" s="64"/>
      <c r="D580" s="576"/>
      <c r="E580" s="64"/>
      <c r="F580" s="609"/>
      <c r="G580" s="735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</row>
    <row r="581" spans="1:27" s="110" customFormat="1">
      <c r="A581" s="65"/>
      <c r="B581" s="65"/>
      <c r="C581" s="64"/>
      <c r="D581" s="576"/>
      <c r="E581" s="64"/>
      <c r="F581" s="609"/>
      <c r="G581" s="735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</row>
    <row r="582" spans="1:27" s="110" customFormat="1">
      <c r="A582" s="65"/>
      <c r="B582" s="65"/>
      <c r="C582" s="64"/>
      <c r="D582" s="576"/>
      <c r="E582" s="64"/>
      <c r="F582" s="609"/>
      <c r="G582" s="735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</row>
    <row r="583" spans="1:27" s="110" customFormat="1">
      <c r="A583" s="65"/>
      <c r="B583" s="65"/>
      <c r="C583" s="64"/>
      <c r="D583" s="576"/>
      <c r="E583" s="64"/>
      <c r="F583" s="609"/>
      <c r="G583" s="735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</row>
    <row r="584" spans="1:27" s="110" customFormat="1">
      <c r="A584" s="65"/>
      <c r="B584" s="65"/>
      <c r="C584" s="64"/>
      <c r="D584" s="576"/>
      <c r="E584" s="64"/>
      <c r="F584" s="609"/>
      <c r="G584" s="735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</row>
    <row r="585" spans="1:27" s="110" customFormat="1">
      <c r="A585" s="65"/>
      <c r="B585" s="65"/>
      <c r="C585" s="64"/>
      <c r="D585" s="576"/>
      <c r="E585" s="64"/>
      <c r="F585" s="609"/>
      <c r="G585" s="735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</row>
    <row r="586" spans="1:27" s="110" customFormat="1">
      <c r="A586" s="65"/>
      <c r="B586" s="65"/>
      <c r="C586" s="64"/>
      <c r="D586" s="576"/>
      <c r="E586" s="64"/>
      <c r="F586" s="609"/>
      <c r="G586" s="735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</row>
    <row r="587" spans="1:27" s="110" customFormat="1">
      <c r="A587" s="65"/>
      <c r="B587" s="65"/>
      <c r="C587" s="64"/>
      <c r="D587" s="576"/>
      <c r="E587" s="64"/>
      <c r="F587" s="609"/>
      <c r="G587" s="735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</row>
    <row r="588" spans="1:27" s="110" customFormat="1">
      <c r="A588" s="65"/>
      <c r="B588" s="65"/>
      <c r="C588" s="64"/>
      <c r="D588" s="576"/>
      <c r="E588" s="64"/>
      <c r="F588" s="609"/>
      <c r="G588" s="735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</row>
    <row r="589" spans="1:27" s="110" customFormat="1">
      <c r="A589" s="65"/>
      <c r="B589" s="65"/>
      <c r="C589" s="64"/>
      <c r="D589" s="576"/>
      <c r="E589" s="64"/>
      <c r="F589" s="609"/>
      <c r="G589" s="735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</row>
    <row r="590" spans="1:27" s="110" customFormat="1">
      <c r="A590" s="65"/>
      <c r="B590" s="65"/>
      <c r="C590" s="64"/>
      <c r="D590" s="576"/>
      <c r="E590" s="64"/>
      <c r="F590" s="609"/>
      <c r="G590" s="735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</row>
    <row r="591" spans="1:27" s="110" customFormat="1">
      <c r="A591" s="65"/>
      <c r="B591" s="65"/>
      <c r="C591" s="64"/>
      <c r="D591" s="576"/>
      <c r="E591" s="64"/>
      <c r="F591" s="609"/>
      <c r="G591" s="735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</row>
    <row r="592" spans="1:27" s="110" customFormat="1">
      <c r="A592" s="65"/>
      <c r="B592" s="65"/>
      <c r="C592" s="64"/>
      <c r="D592" s="576"/>
      <c r="E592" s="64"/>
      <c r="F592" s="609"/>
      <c r="G592" s="735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</row>
    <row r="593" spans="1:27" s="110" customFormat="1">
      <c r="A593" s="65"/>
      <c r="B593" s="65"/>
      <c r="C593" s="64"/>
      <c r="D593" s="576"/>
      <c r="E593" s="64"/>
      <c r="F593" s="609"/>
      <c r="G593" s="735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</row>
    <row r="594" spans="1:27" s="110" customFormat="1">
      <c r="A594" s="65"/>
      <c r="B594" s="65"/>
      <c r="C594" s="64"/>
      <c r="D594" s="576"/>
      <c r="E594" s="64"/>
      <c r="F594" s="609"/>
      <c r="G594" s="735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</row>
    <row r="595" spans="1:27" s="110" customFormat="1">
      <c r="A595" s="65"/>
      <c r="B595" s="65"/>
      <c r="C595" s="64"/>
      <c r="D595" s="576"/>
      <c r="E595" s="64"/>
      <c r="F595" s="609"/>
      <c r="G595" s="735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</row>
    <row r="596" spans="1:27" s="110" customFormat="1">
      <c r="A596" s="65"/>
      <c r="B596" s="65"/>
      <c r="C596" s="64"/>
      <c r="D596" s="576"/>
      <c r="E596" s="64"/>
      <c r="F596" s="609"/>
      <c r="G596" s="735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</row>
    <row r="597" spans="1:27" s="110" customFormat="1">
      <c r="A597" s="65"/>
      <c r="B597" s="65"/>
      <c r="C597" s="64"/>
      <c r="D597" s="576"/>
      <c r="E597" s="64"/>
      <c r="F597" s="609"/>
      <c r="G597" s="735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</row>
    <row r="598" spans="1:27" s="110" customFormat="1">
      <c r="A598" s="65"/>
      <c r="B598" s="65"/>
      <c r="C598" s="64"/>
      <c r="D598" s="576"/>
      <c r="E598" s="64"/>
      <c r="F598" s="609"/>
      <c r="G598" s="735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</row>
    <row r="599" spans="1:27" s="110" customFormat="1">
      <c r="A599" s="65"/>
      <c r="B599" s="65"/>
      <c r="C599" s="64"/>
      <c r="D599" s="576"/>
      <c r="E599" s="64"/>
      <c r="F599" s="609"/>
      <c r="G599" s="735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</row>
    <row r="600" spans="1:27" s="110" customFormat="1">
      <c r="A600" s="65"/>
      <c r="B600" s="65"/>
      <c r="C600" s="64"/>
      <c r="D600" s="576"/>
      <c r="E600" s="64"/>
      <c r="F600" s="609"/>
      <c r="G600" s="735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</row>
    <row r="601" spans="1:27" s="110" customFormat="1">
      <c r="A601" s="65"/>
      <c r="B601" s="65"/>
      <c r="C601" s="64"/>
      <c r="D601" s="576"/>
      <c r="E601" s="64"/>
      <c r="F601" s="609"/>
      <c r="G601" s="735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</row>
    <row r="602" spans="1:27" s="110" customFormat="1">
      <c r="A602" s="65"/>
      <c r="B602" s="65"/>
      <c r="C602" s="64"/>
      <c r="D602" s="576"/>
      <c r="E602" s="64"/>
      <c r="F602" s="609"/>
      <c r="G602" s="735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</row>
    <row r="603" spans="1:27" s="110" customFormat="1">
      <c r="A603" s="65"/>
      <c r="B603" s="65"/>
      <c r="C603" s="64"/>
      <c r="D603" s="576"/>
      <c r="E603" s="64"/>
      <c r="F603" s="609"/>
      <c r="G603" s="735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</row>
    <row r="604" spans="1:27" s="110" customFormat="1">
      <c r="A604" s="65"/>
      <c r="B604" s="65"/>
      <c r="C604" s="64"/>
      <c r="D604" s="576"/>
      <c r="E604" s="64"/>
      <c r="F604" s="609"/>
      <c r="G604" s="735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</row>
    <row r="605" spans="1:27" s="110" customFormat="1">
      <c r="A605" s="65"/>
      <c r="B605" s="65"/>
      <c r="C605" s="64"/>
      <c r="D605" s="576"/>
      <c r="E605" s="64"/>
      <c r="F605" s="609"/>
      <c r="G605" s="735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</row>
    <row r="606" spans="1:27" s="110" customFormat="1">
      <c r="A606" s="65"/>
      <c r="B606" s="65"/>
      <c r="C606" s="64"/>
      <c r="D606" s="576"/>
      <c r="E606" s="64"/>
      <c r="F606" s="609"/>
      <c r="G606" s="735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</row>
    <row r="607" spans="1:27" s="110" customFormat="1">
      <c r="A607" s="65"/>
      <c r="B607" s="65"/>
      <c r="C607" s="64"/>
      <c r="D607" s="576"/>
      <c r="E607" s="64"/>
      <c r="F607" s="609"/>
      <c r="G607" s="735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</row>
    <row r="608" spans="1:27" s="110" customFormat="1">
      <c r="A608" s="65"/>
      <c r="B608" s="65"/>
      <c r="C608" s="64"/>
      <c r="D608" s="576"/>
      <c r="E608" s="64"/>
      <c r="F608" s="609"/>
      <c r="G608" s="735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</row>
    <row r="609" spans="1:27" s="110" customFormat="1">
      <c r="A609" s="65"/>
      <c r="B609" s="65"/>
      <c r="C609" s="64"/>
      <c r="D609" s="576"/>
      <c r="E609" s="64"/>
      <c r="F609" s="609"/>
      <c r="G609" s="735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</row>
    <row r="610" spans="1:27" s="110" customFormat="1">
      <c r="A610" s="65"/>
      <c r="B610" s="65"/>
      <c r="C610" s="64"/>
      <c r="D610" s="576"/>
      <c r="E610" s="64"/>
      <c r="F610" s="609"/>
      <c r="G610" s="735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</row>
    <row r="611" spans="1:27" s="110" customFormat="1">
      <c r="A611" s="65"/>
      <c r="B611" s="65"/>
      <c r="C611" s="64"/>
      <c r="D611" s="576"/>
      <c r="E611" s="64"/>
      <c r="F611" s="609"/>
      <c r="G611" s="735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</row>
    <row r="612" spans="1:27" s="110" customFormat="1">
      <c r="A612" s="65"/>
      <c r="B612" s="65"/>
      <c r="C612" s="64"/>
      <c r="D612" s="576"/>
      <c r="E612" s="64"/>
      <c r="F612" s="609"/>
      <c r="G612" s="735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</row>
    <row r="613" spans="1:27" s="110" customFormat="1">
      <c r="A613" s="65"/>
      <c r="B613" s="65"/>
      <c r="C613" s="64"/>
      <c r="D613" s="576"/>
      <c r="E613" s="64"/>
      <c r="F613" s="609"/>
      <c r="G613" s="735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</row>
    <row r="614" spans="1:27" s="110" customFormat="1">
      <c r="A614" s="65"/>
      <c r="B614" s="65"/>
      <c r="C614" s="64"/>
      <c r="D614" s="576"/>
      <c r="E614" s="64"/>
      <c r="F614" s="609"/>
      <c r="G614" s="735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</row>
    <row r="615" spans="1:27" s="110" customFormat="1">
      <c r="A615" s="65"/>
      <c r="B615" s="65"/>
      <c r="C615" s="64"/>
      <c r="D615" s="576"/>
      <c r="E615" s="64"/>
      <c r="F615" s="609"/>
      <c r="G615" s="735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</row>
    <row r="616" spans="1:27" s="110" customFormat="1">
      <c r="A616" s="65"/>
      <c r="B616" s="65"/>
      <c r="C616" s="64"/>
      <c r="D616" s="576"/>
      <c r="E616" s="64"/>
      <c r="F616" s="609"/>
      <c r="G616" s="735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</row>
    <row r="617" spans="1:27" s="110" customFormat="1">
      <c r="A617" s="65"/>
      <c r="B617" s="65"/>
      <c r="C617" s="64"/>
      <c r="D617" s="576"/>
      <c r="E617" s="64"/>
      <c r="F617" s="609"/>
      <c r="G617" s="735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</row>
    <row r="618" spans="1:27" s="110" customFormat="1">
      <c r="A618" s="65"/>
      <c r="B618" s="65"/>
      <c r="C618" s="64"/>
      <c r="D618" s="576"/>
      <c r="E618" s="64"/>
      <c r="F618" s="609"/>
      <c r="G618" s="735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</row>
    <row r="619" spans="1:27" s="110" customFormat="1">
      <c r="A619" s="65"/>
      <c r="B619" s="65"/>
      <c r="C619" s="64"/>
      <c r="D619" s="576"/>
      <c r="E619" s="64"/>
      <c r="F619" s="609"/>
      <c r="G619" s="735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</row>
    <row r="620" spans="1:27" s="110" customFormat="1">
      <c r="A620" s="65"/>
      <c r="B620" s="65"/>
      <c r="C620" s="64"/>
      <c r="D620" s="576"/>
      <c r="E620" s="64"/>
      <c r="F620" s="609"/>
      <c r="G620" s="735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</row>
    <row r="621" spans="1:27" s="110" customFormat="1">
      <c r="A621" s="65"/>
      <c r="B621" s="65"/>
      <c r="C621" s="64"/>
      <c r="D621" s="576"/>
      <c r="E621" s="64"/>
      <c r="F621" s="609"/>
      <c r="G621" s="735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</row>
    <row r="622" spans="1:27" s="110" customFormat="1">
      <c r="A622" s="65"/>
      <c r="B622" s="65"/>
      <c r="C622" s="64"/>
      <c r="D622" s="576"/>
      <c r="E622" s="64"/>
      <c r="F622" s="609"/>
      <c r="G622" s="735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</row>
    <row r="623" spans="1:27" s="110" customFormat="1">
      <c r="A623" s="65"/>
      <c r="B623" s="65"/>
      <c r="C623" s="64"/>
      <c r="D623" s="576"/>
      <c r="E623" s="64"/>
      <c r="F623" s="609"/>
      <c r="G623" s="735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</row>
    <row r="624" spans="1:27" s="110" customFormat="1">
      <c r="A624" s="65"/>
      <c r="B624" s="65"/>
      <c r="C624" s="64"/>
      <c r="D624" s="576"/>
      <c r="E624" s="64"/>
      <c r="F624" s="609"/>
      <c r="G624" s="735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</row>
    <row r="625" spans="1:27" s="110" customFormat="1">
      <c r="A625" s="65"/>
      <c r="B625" s="65"/>
      <c r="C625" s="64"/>
      <c r="D625" s="576"/>
      <c r="E625" s="64"/>
      <c r="F625" s="609"/>
      <c r="G625" s="735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</row>
    <row r="626" spans="1:27" s="110" customFormat="1">
      <c r="A626" s="65"/>
      <c r="B626" s="65"/>
      <c r="C626" s="64"/>
      <c r="D626" s="576"/>
      <c r="E626" s="64"/>
      <c r="F626" s="609"/>
      <c r="G626" s="735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</row>
    <row r="627" spans="1:27" s="110" customFormat="1">
      <c r="A627" s="65"/>
      <c r="B627" s="65"/>
      <c r="C627" s="64"/>
      <c r="D627" s="576"/>
      <c r="E627" s="64"/>
      <c r="F627" s="609"/>
      <c r="G627" s="735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</row>
    <row r="628" spans="1:27" s="110" customFormat="1">
      <c r="A628" s="65"/>
      <c r="B628" s="65"/>
      <c r="C628" s="64"/>
      <c r="D628" s="576"/>
      <c r="E628" s="64"/>
      <c r="F628" s="609"/>
      <c r="G628" s="735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</row>
    <row r="629" spans="1:27" s="110" customFormat="1">
      <c r="A629" s="65"/>
      <c r="B629" s="65"/>
      <c r="C629" s="64"/>
      <c r="D629" s="576"/>
      <c r="E629" s="64"/>
      <c r="F629" s="609"/>
      <c r="G629" s="735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</row>
    <row r="630" spans="1:27" s="110" customFormat="1">
      <c r="A630" s="65"/>
      <c r="B630" s="65"/>
      <c r="C630" s="64"/>
      <c r="D630" s="576"/>
      <c r="E630" s="64"/>
      <c r="F630" s="609"/>
      <c r="G630" s="735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</row>
    <row r="631" spans="1:27" s="110" customFormat="1">
      <c r="A631" s="65"/>
      <c r="B631" s="65"/>
      <c r="C631" s="64"/>
      <c r="D631" s="576"/>
      <c r="E631" s="64"/>
      <c r="F631" s="609"/>
      <c r="G631" s="735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</row>
    <row r="632" spans="1:27" s="110" customFormat="1">
      <c r="A632" s="65"/>
      <c r="B632" s="65"/>
      <c r="C632" s="64"/>
      <c r="D632" s="576"/>
      <c r="E632" s="64"/>
      <c r="F632" s="609"/>
      <c r="G632" s="735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</row>
    <row r="633" spans="1:27" s="110" customFormat="1">
      <c r="A633" s="65"/>
      <c r="B633" s="65"/>
      <c r="C633" s="64"/>
      <c r="D633" s="576"/>
      <c r="E633" s="64"/>
      <c r="F633" s="609"/>
      <c r="G633" s="735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</row>
    <row r="634" spans="1:27" s="110" customFormat="1">
      <c r="A634" s="65"/>
      <c r="B634" s="65"/>
      <c r="C634" s="64"/>
      <c r="D634" s="576"/>
      <c r="E634" s="64"/>
      <c r="F634" s="609"/>
      <c r="G634" s="735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</row>
    <row r="635" spans="1:27" s="110" customFormat="1">
      <c r="A635" s="65"/>
      <c r="B635" s="65"/>
      <c r="C635" s="64"/>
      <c r="D635" s="576"/>
      <c r="E635" s="64"/>
      <c r="F635" s="609"/>
      <c r="G635" s="735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</row>
    <row r="636" spans="1:27" s="110" customFormat="1">
      <c r="A636" s="65"/>
      <c r="B636" s="65"/>
      <c r="C636" s="64"/>
      <c r="D636" s="576"/>
      <c r="E636" s="64"/>
      <c r="F636" s="609"/>
      <c r="G636" s="735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</row>
    <row r="637" spans="1:27" s="110" customFormat="1">
      <c r="A637" s="65"/>
      <c r="B637" s="65"/>
      <c r="C637" s="64"/>
      <c r="D637" s="576"/>
      <c r="E637" s="64"/>
      <c r="F637" s="609"/>
      <c r="G637" s="735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</row>
    <row r="638" spans="1:27" s="110" customFormat="1">
      <c r="A638" s="65"/>
      <c r="B638" s="65"/>
      <c r="C638" s="64"/>
      <c r="D638" s="576"/>
      <c r="E638" s="64"/>
      <c r="F638" s="609"/>
      <c r="G638" s="735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</row>
    <row r="639" spans="1:27" s="110" customFormat="1">
      <c r="A639" s="65"/>
      <c r="B639" s="65"/>
      <c r="C639" s="64"/>
      <c r="D639" s="576"/>
      <c r="E639" s="64"/>
      <c r="F639" s="609"/>
      <c r="G639" s="735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</row>
    <row r="640" spans="1:27" s="110" customFormat="1">
      <c r="A640" s="65"/>
      <c r="B640" s="65"/>
      <c r="C640" s="64"/>
      <c r="D640" s="576"/>
      <c r="E640" s="64"/>
      <c r="F640" s="609"/>
      <c r="G640" s="735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</row>
    <row r="641" spans="1:27" s="110" customFormat="1">
      <c r="A641" s="65"/>
      <c r="B641" s="65"/>
      <c r="C641" s="64"/>
      <c r="D641" s="576"/>
      <c r="E641" s="64"/>
      <c r="F641" s="609"/>
      <c r="G641" s="735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</row>
    <row r="642" spans="1:27" s="110" customFormat="1">
      <c r="A642" s="65"/>
      <c r="B642" s="65"/>
      <c r="C642" s="64"/>
      <c r="D642" s="576"/>
      <c r="E642" s="64"/>
      <c r="F642" s="609"/>
      <c r="G642" s="735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</row>
    <row r="643" spans="1:27" s="110" customFormat="1">
      <c r="A643" s="65"/>
      <c r="B643" s="65"/>
      <c r="C643" s="64"/>
      <c r="D643" s="576"/>
      <c r="E643" s="64"/>
      <c r="F643" s="609"/>
      <c r="G643" s="735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</row>
    <row r="644" spans="1:27" s="110" customFormat="1">
      <c r="A644" s="65"/>
      <c r="B644" s="65"/>
      <c r="C644" s="64"/>
      <c r="D644" s="576"/>
      <c r="E644" s="64"/>
      <c r="F644" s="609"/>
      <c r="G644" s="735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</row>
    <row r="645" spans="1:27" s="110" customFormat="1">
      <c r="A645" s="65"/>
      <c r="B645" s="65"/>
      <c r="C645" s="64"/>
      <c r="D645" s="576"/>
      <c r="E645" s="64"/>
      <c r="F645" s="609"/>
      <c r="G645" s="735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</row>
    <row r="646" spans="1:27" s="110" customFormat="1">
      <c r="A646" s="65"/>
      <c r="B646" s="65"/>
      <c r="C646" s="64"/>
      <c r="D646" s="576"/>
      <c r="E646" s="64"/>
      <c r="F646" s="609"/>
      <c r="G646" s="735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</row>
    <row r="647" spans="1:27" s="110" customFormat="1">
      <c r="A647" s="65"/>
      <c r="B647" s="65"/>
      <c r="C647" s="64"/>
      <c r="D647" s="576"/>
      <c r="E647" s="64"/>
      <c r="F647" s="609"/>
      <c r="G647" s="735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</row>
    <row r="648" spans="1:27" s="110" customFormat="1">
      <c r="A648" s="65"/>
      <c r="B648" s="65"/>
      <c r="C648" s="64"/>
      <c r="D648" s="576"/>
      <c r="E648" s="64"/>
      <c r="F648" s="609"/>
      <c r="G648" s="735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</row>
    <row r="649" spans="1:27" s="110" customFormat="1">
      <c r="A649" s="65"/>
      <c r="B649" s="65"/>
      <c r="C649" s="64"/>
      <c r="D649" s="576"/>
      <c r="E649" s="64"/>
      <c r="F649" s="609"/>
      <c r="G649" s="735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</row>
    <row r="650" spans="1:27" s="110" customFormat="1">
      <c r="A650" s="65"/>
      <c r="B650" s="65"/>
      <c r="C650" s="64"/>
      <c r="D650" s="576"/>
      <c r="E650" s="64"/>
      <c r="F650" s="609"/>
      <c r="G650" s="735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</row>
    <row r="651" spans="1:27" s="110" customFormat="1">
      <c r="A651" s="65"/>
      <c r="B651" s="65"/>
      <c r="C651" s="64"/>
      <c r="D651" s="576"/>
      <c r="E651" s="64"/>
      <c r="F651" s="609"/>
      <c r="G651" s="735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</row>
    <row r="652" spans="1:27" s="110" customFormat="1">
      <c r="A652" s="65"/>
      <c r="B652" s="65"/>
      <c r="C652" s="64"/>
      <c r="D652" s="576"/>
      <c r="E652" s="64"/>
      <c r="F652" s="609"/>
      <c r="G652" s="735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</row>
    <row r="653" spans="1:27" s="110" customFormat="1">
      <c r="A653" s="65"/>
      <c r="B653" s="65"/>
      <c r="C653" s="64"/>
      <c r="D653" s="576"/>
      <c r="E653" s="64"/>
      <c r="F653" s="609"/>
      <c r="G653" s="735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</row>
    <row r="654" spans="1:27" s="110" customFormat="1">
      <c r="A654" s="65"/>
      <c r="B654" s="65"/>
      <c r="C654" s="64"/>
      <c r="D654" s="576"/>
      <c r="E654" s="64"/>
      <c r="F654" s="609"/>
      <c r="G654" s="735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</row>
    <row r="655" spans="1:27" s="110" customFormat="1">
      <c r="A655" s="65"/>
      <c r="B655" s="65"/>
      <c r="C655" s="64"/>
      <c r="D655" s="576"/>
      <c r="E655" s="64"/>
      <c r="F655" s="609"/>
      <c r="G655" s="735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</row>
    <row r="656" spans="1:27" s="110" customFormat="1">
      <c r="A656" s="65"/>
      <c r="B656" s="65"/>
      <c r="C656" s="64"/>
      <c r="D656" s="576"/>
      <c r="E656" s="64"/>
      <c r="F656" s="609"/>
      <c r="G656" s="735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</row>
    <row r="657" spans="1:27" s="110" customFormat="1">
      <c r="A657" s="65"/>
      <c r="B657" s="65"/>
      <c r="C657" s="64"/>
      <c r="D657" s="576"/>
      <c r="E657" s="64"/>
      <c r="F657" s="609"/>
      <c r="G657" s="735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</row>
    <row r="658" spans="1:27" s="110" customFormat="1">
      <c r="A658" s="65"/>
      <c r="B658" s="65"/>
      <c r="C658" s="64"/>
      <c r="D658" s="576"/>
      <c r="E658" s="64"/>
      <c r="F658" s="609"/>
      <c r="G658" s="735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</row>
    <row r="659" spans="1:27" s="110" customFormat="1">
      <c r="A659" s="65"/>
      <c r="B659" s="65"/>
      <c r="C659" s="64"/>
      <c r="D659" s="576"/>
      <c r="E659" s="64"/>
      <c r="F659" s="609"/>
      <c r="G659" s="735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</row>
    <row r="660" spans="1:27" s="110" customFormat="1">
      <c r="A660" s="65"/>
      <c r="B660" s="65"/>
      <c r="C660" s="64"/>
      <c r="D660" s="576"/>
      <c r="E660" s="64"/>
      <c r="F660" s="609"/>
      <c r="G660" s="735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</row>
    <row r="661" spans="1:27" s="110" customFormat="1">
      <c r="A661" s="65"/>
      <c r="B661" s="65"/>
      <c r="C661" s="64"/>
      <c r="D661" s="576"/>
      <c r="E661" s="64"/>
      <c r="F661" s="609"/>
      <c r="G661" s="735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</row>
    <row r="662" spans="1:27" s="110" customFormat="1">
      <c r="A662" s="65"/>
      <c r="B662" s="65"/>
      <c r="C662" s="64"/>
      <c r="D662" s="576"/>
      <c r="E662" s="64"/>
      <c r="F662" s="609"/>
      <c r="G662" s="735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</row>
    <row r="663" spans="1:27" s="110" customFormat="1">
      <c r="A663" s="65"/>
      <c r="B663" s="65"/>
      <c r="C663" s="64"/>
      <c r="D663" s="576"/>
      <c r="E663" s="64"/>
      <c r="F663" s="609"/>
      <c r="G663" s="735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</row>
    <row r="664" spans="1:27" s="110" customFormat="1">
      <c r="A664" s="65"/>
      <c r="B664" s="65"/>
      <c r="C664" s="64"/>
      <c r="D664" s="576"/>
      <c r="E664" s="64"/>
      <c r="F664" s="609"/>
      <c r="G664" s="735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</row>
    <row r="665" spans="1:27" s="110" customFormat="1">
      <c r="A665" s="65"/>
      <c r="B665" s="65"/>
      <c r="C665" s="64"/>
      <c r="D665" s="576"/>
      <c r="E665" s="64"/>
      <c r="F665" s="609"/>
      <c r="G665" s="735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</row>
    <row r="666" spans="1:27" s="110" customFormat="1">
      <c r="A666" s="65"/>
      <c r="B666" s="65"/>
      <c r="C666" s="64"/>
      <c r="D666" s="576"/>
      <c r="E666" s="64"/>
      <c r="F666" s="609"/>
      <c r="G666" s="735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</row>
    <row r="667" spans="1:27" s="110" customFormat="1">
      <c r="A667" s="65"/>
      <c r="B667" s="65"/>
      <c r="C667" s="64"/>
      <c r="D667" s="576"/>
      <c r="E667" s="64"/>
      <c r="F667" s="609"/>
      <c r="G667" s="735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</row>
    <row r="668" spans="1:27" s="110" customFormat="1">
      <c r="A668" s="65"/>
      <c r="B668" s="65"/>
      <c r="C668" s="64"/>
      <c r="D668" s="576"/>
      <c r="E668" s="64"/>
      <c r="F668" s="609"/>
      <c r="G668" s="735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</row>
    <row r="669" spans="1:27" s="110" customFormat="1">
      <c r="A669" s="65"/>
      <c r="B669" s="65"/>
      <c r="C669" s="64"/>
      <c r="D669" s="576"/>
      <c r="E669" s="64"/>
      <c r="F669" s="609"/>
      <c r="G669" s="735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</row>
    <row r="670" spans="1:27" s="110" customFormat="1">
      <c r="A670" s="65"/>
      <c r="B670" s="65"/>
      <c r="C670" s="64"/>
      <c r="D670" s="576"/>
      <c r="E670" s="64"/>
      <c r="F670" s="609"/>
      <c r="G670" s="735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</row>
    <row r="671" spans="1:27" s="110" customFormat="1">
      <c r="A671" s="65"/>
      <c r="B671" s="65"/>
      <c r="C671" s="64"/>
      <c r="D671" s="576"/>
      <c r="E671" s="64"/>
      <c r="F671" s="609"/>
      <c r="G671" s="735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</row>
    <row r="672" spans="1:27" s="110" customFormat="1">
      <c r="A672" s="65"/>
      <c r="B672" s="65"/>
      <c r="C672" s="64"/>
      <c r="D672" s="576"/>
      <c r="E672" s="64"/>
      <c r="F672" s="609"/>
      <c r="G672" s="735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</row>
    <row r="673" spans="1:27" s="110" customFormat="1">
      <c r="A673" s="65"/>
      <c r="B673" s="65"/>
      <c r="C673" s="64"/>
      <c r="D673" s="576"/>
      <c r="E673" s="64"/>
      <c r="F673" s="609"/>
      <c r="G673" s="735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</row>
    <row r="674" spans="1:27" s="110" customFormat="1">
      <c r="A674" s="65"/>
      <c r="B674" s="65"/>
      <c r="C674" s="64"/>
      <c r="D674" s="576"/>
      <c r="E674" s="64"/>
      <c r="F674" s="609"/>
      <c r="G674" s="735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</row>
    <row r="675" spans="1:27" s="110" customFormat="1">
      <c r="A675" s="65"/>
      <c r="B675" s="65"/>
      <c r="C675" s="64"/>
      <c r="D675" s="576"/>
      <c r="E675" s="64"/>
      <c r="F675" s="609"/>
      <c r="G675" s="735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</row>
    <row r="676" spans="1:27" s="110" customFormat="1">
      <c r="A676" s="65"/>
      <c r="B676" s="65"/>
      <c r="C676" s="64"/>
      <c r="D676" s="576"/>
      <c r="E676" s="64"/>
      <c r="F676" s="609"/>
      <c r="G676" s="735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</row>
    <row r="677" spans="1:27" s="110" customFormat="1">
      <c r="A677" s="65"/>
      <c r="B677" s="65"/>
      <c r="C677" s="64"/>
      <c r="D677" s="576"/>
      <c r="E677" s="64"/>
      <c r="F677" s="609"/>
      <c r="G677" s="735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</row>
    <row r="678" spans="1:27" s="110" customFormat="1">
      <c r="A678" s="65"/>
      <c r="B678" s="65"/>
      <c r="C678" s="64"/>
      <c r="D678" s="576"/>
      <c r="E678" s="64"/>
      <c r="F678" s="609"/>
      <c r="G678" s="735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</row>
  </sheetData>
  <autoFilter ref="A29:E29"/>
  <mergeCells count="2">
    <mergeCell ref="A8:I8"/>
    <mergeCell ref="A20:AB20"/>
  </mergeCells>
  <pageMargins left="0.70866141732283472" right="0.70866141732283472" top="0.74803149606299213" bottom="0.74803149606299213" header="0.31496062992125984" footer="0.31496062992125984"/>
  <pageSetup paperSize="9" scale="35" fitToHeight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0"/>
  <sheetViews>
    <sheetView zoomScaleNormal="100" workbookViewId="0">
      <pane ySplit="1" topLeftCell="A425" activePane="bottomLeft" state="frozen"/>
      <selection activeCell="H381" sqref="H381"/>
      <selection pane="bottomLeft" activeCell="F440" sqref="F440"/>
    </sheetView>
  </sheetViews>
  <sheetFormatPr defaultRowHeight="12.75"/>
  <cols>
    <col min="1" max="1" width="6.140625" bestFit="1" customWidth="1"/>
    <col min="2" max="2" width="19.7109375" customWidth="1"/>
    <col min="3" max="3" width="62.85546875" customWidth="1"/>
    <col min="4" max="4" width="9.7109375" bestFit="1" customWidth="1"/>
    <col min="5" max="5" width="9.7109375" hidden="1" customWidth="1"/>
    <col min="6" max="7" width="18.85546875" style="217" customWidth="1"/>
    <col min="8" max="8" width="18" bestFit="1" customWidth="1"/>
    <col min="10" max="10" width="12.85546875" bestFit="1" customWidth="1"/>
  </cols>
  <sheetData>
    <row r="1" spans="1:8" ht="26.25" thickBot="1">
      <c r="A1" s="765" t="s">
        <v>120</v>
      </c>
      <c r="B1" s="314" t="s">
        <v>2048</v>
      </c>
      <c r="C1" s="314" t="s">
        <v>121</v>
      </c>
      <c r="D1" s="314" t="s">
        <v>1936</v>
      </c>
      <c r="E1" s="314"/>
      <c r="F1" s="315" t="s">
        <v>3899</v>
      </c>
      <c r="G1" s="315" t="s">
        <v>3478</v>
      </c>
      <c r="H1" s="766" t="s">
        <v>3902</v>
      </c>
    </row>
    <row r="2" spans="1:8">
      <c r="A2" s="767" t="s">
        <v>1842</v>
      </c>
      <c r="B2" s="768" t="s">
        <v>3903</v>
      </c>
      <c r="C2" s="768" t="s">
        <v>3904</v>
      </c>
      <c r="D2" s="769"/>
      <c r="E2" s="769"/>
      <c r="F2" s="770"/>
      <c r="G2" s="770"/>
    </row>
    <row r="3" spans="1:8">
      <c r="A3" s="767" t="s">
        <v>1960</v>
      </c>
      <c r="B3" s="317" t="s">
        <v>2843</v>
      </c>
      <c r="C3" s="317" t="s">
        <v>2844</v>
      </c>
      <c r="D3" s="328"/>
      <c r="E3" s="328"/>
      <c r="F3" s="333"/>
      <c r="G3" s="333"/>
    </row>
    <row r="4" spans="1:8">
      <c r="A4" s="767" t="s">
        <v>1963</v>
      </c>
      <c r="B4" s="317" t="s">
        <v>2845</v>
      </c>
      <c r="C4" s="317" t="s">
        <v>2846</v>
      </c>
      <c r="D4" s="328"/>
      <c r="E4" s="328"/>
      <c r="F4" s="333"/>
      <c r="G4" s="333"/>
    </row>
    <row r="5" spans="1:8">
      <c r="A5" s="767" t="s">
        <v>1965</v>
      </c>
      <c r="B5" s="317" t="s">
        <v>2847</v>
      </c>
      <c r="C5" s="317" t="s">
        <v>2848</v>
      </c>
      <c r="D5" s="328"/>
      <c r="E5" s="328"/>
      <c r="F5" s="333"/>
      <c r="G5" s="333"/>
    </row>
    <row r="6" spans="1:8">
      <c r="A6" s="767" t="s">
        <v>1967</v>
      </c>
      <c r="B6" s="317" t="s">
        <v>2849</v>
      </c>
      <c r="C6" s="317" t="s">
        <v>2850</v>
      </c>
      <c r="D6" s="328"/>
      <c r="E6" s="328"/>
      <c r="F6" s="333"/>
      <c r="G6" s="333"/>
    </row>
    <row r="7" spans="1:8">
      <c r="A7" s="319" t="s">
        <v>1969</v>
      </c>
      <c r="B7" s="319" t="s">
        <v>3905</v>
      </c>
      <c r="C7" s="320" t="s">
        <v>3479</v>
      </c>
      <c r="D7" s="771"/>
      <c r="E7" s="771" t="str">
        <f>+B6</f>
        <v>AAA020</v>
      </c>
      <c r="F7" s="334"/>
      <c r="G7" s="334"/>
    </row>
    <row r="8" spans="1:8">
      <c r="A8" s="767" t="s">
        <v>1967</v>
      </c>
      <c r="B8" s="317" t="s">
        <v>2851</v>
      </c>
      <c r="C8" s="317" t="s">
        <v>2852</v>
      </c>
      <c r="D8" s="328"/>
      <c r="E8" s="328"/>
      <c r="F8" s="333"/>
      <c r="G8" s="333"/>
    </row>
    <row r="9" spans="1:8">
      <c r="A9" s="319" t="s">
        <v>1969</v>
      </c>
      <c r="B9" s="319" t="s">
        <v>3906</v>
      </c>
      <c r="C9" s="320" t="s">
        <v>3480</v>
      </c>
      <c r="D9" s="771"/>
      <c r="E9" s="771" t="str">
        <f>+B8</f>
        <v>AAA030</v>
      </c>
      <c r="F9" s="334"/>
      <c r="G9" s="334"/>
      <c r="H9" t="s">
        <v>3907</v>
      </c>
    </row>
    <row r="10" spans="1:8">
      <c r="A10" s="767" t="s">
        <v>1965</v>
      </c>
      <c r="B10" s="317" t="s">
        <v>2853</v>
      </c>
      <c r="C10" s="317" t="s">
        <v>2854</v>
      </c>
      <c r="D10" s="328"/>
      <c r="E10" s="328"/>
      <c r="F10" s="333"/>
      <c r="G10" s="333"/>
    </row>
    <row r="11" spans="1:8">
      <c r="A11" s="767" t="s">
        <v>1967</v>
      </c>
      <c r="B11" s="317" t="s">
        <v>2855</v>
      </c>
      <c r="C11" s="317" t="s">
        <v>2856</v>
      </c>
      <c r="D11" s="328"/>
      <c r="E11" s="328"/>
      <c r="F11" s="333"/>
      <c r="G11" s="333"/>
    </row>
    <row r="12" spans="1:8">
      <c r="A12" s="319" t="s">
        <v>1969</v>
      </c>
      <c r="B12" s="319" t="s">
        <v>3908</v>
      </c>
      <c r="C12" s="320" t="s">
        <v>3481</v>
      </c>
      <c r="D12" s="771"/>
      <c r="E12" s="771" t="str">
        <f>+B11</f>
        <v>AAA050</v>
      </c>
      <c r="F12" s="334"/>
      <c r="G12" s="334"/>
    </row>
    <row r="13" spans="1:8">
      <c r="A13" s="767" t="s">
        <v>1967</v>
      </c>
      <c r="B13" s="317" t="s">
        <v>2857</v>
      </c>
      <c r="C13" s="317" t="s">
        <v>2858</v>
      </c>
      <c r="D13" s="328"/>
      <c r="E13" s="328"/>
      <c r="F13" s="333"/>
      <c r="G13" s="333"/>
    </row>
    <row r="14" spans="1:8">
      <c r="A14" s="319" t="s">
        <v>1969</v>
      </c>
      <c r="B14" s="319" t="s">
        <v>3909</v>
      </c>
      <c r="C14" s="320" t="s">
        <v>3482</v>
      </c>
      <c r="D14" s="771"/>
      <c r="E14" s="771" t="str">
        <f>+B13</f>
        <v>AAA060</v>
      </c>
      <c r="F14" s="334"/>
      <c r="G14" s="334"/>
      <c r="H14" t="s">
        <v>3907</v>
      </c>
    </row>
    <row r="15" spans="1:8">
      <c r="A15" s="767" t="s">
        <v>1965</v>
      </c>
      <c r="B15" s="317" t="s">
        <v>2859</v>
      </c>
      <c r="C15" s="317" t="s">
        <v>2860</v>
      </c>
      <c r="D15" s="328"/>
      <c r="E15" s="328"/>
      <c r="F15" s="333"/>
      <c r="G15" s="333"/>
    </row>
    <row r="16" spans="1:8" ht="25.5">
      <c r="A16" s="767" t="s">
        <v>1967</v>
      </c>
      <c r="B16" s="317" t="s">
        <v>2861</v>
      </c>
      <c r="C16" s="317" t="s">
        <v>3910</v>
      </c>
      <c r="D16" s="328"/>
      <c r="E16" s="328"/>
      <c r="F16" s="333"/>
      <c r="G16" s="333"/>
    </row>
    <row r="17" spans="1:8" ht="24">
      <c r="A17" s="319" t="s">
        <v>1969</v>
      </c>
      <c r="B17" s="319" t="s">
        <v>3911</v>
      </c>
      <c r="C17" s="320" t="s">
        <v>3483</v>
      </c>
      <c r="D17" s="771"/>
      <c r="E17" s="771" t="str">
        <f>+B16</f>
        <v>AAA080</v>
      </c>
      <c r="F17" s="334"/>
      <c r="G17" s="334"/>
    </row>
    <row r="18" spans="1:8" ht="25.5">
      <c r="A18" s="767" t="s">
        <v>1967</v>
      </c>
      <c r="B18" s="317" t="s">
        <v>2863</v>
      </c>
      <c r="C18" s="317" t="s">
        <v>2864</v>
      </c>
      <c r="D18" s="328"/>
      <c r="E18" s="328"/>
      <c r="F18" s="333"/>
      <c r="G18" s="333"/>
    </row>
    <row r="19" spans="1:8" ht="24">
      <c r="A19" s="319" t="s">
        <v>1969</v>
      </c>
      <c r="B19" s="319" t="s">
        <v>3912</v>
      </c>
      <c r="C19" s="320" t="s">
        <v>3484</v>
      </c>
      <c r="D19" s="771"/>
      <c r="E19" s="771" t="str">
        <f>+B18</f>
        <v>AAA090</v>
      </c>
      <c r="F19" s="334"/>
      <c r="G19" s="334"/>
      <c r="H19" t="s">
        <v>3907</v>
      </c>
    </row>
    <row r="20" spans="1:8" ht="25.5">
      <c r="A20" s="767" t="s">
        <v>1967</v>
      </c>
      <c r="B20" s="317" t="s">
        <v>2865</v>
      </c>
      <c r="C20" s="317" t="s">
        <v>2866</v>
      </c>
      <c r="D20" s="328"/>
      <c r="E20" s="328"/>
      <c r="F20" s="333"/>
      <c r="G20" s="333"/>
    </row>
    <row r="21" spans="1:8">
      <c r="A21" s="319" t="s">
        <v>1969</v>
      </c>
      <c r="B21" s="319" t="s">
        <v>3913</v>
      </c>
      <c r="C21" s="320" t="s">
        <v>3485</v>
      </c>
      <c r="D21" s="771"/>
      <c r="E21" s="771" t="str">
        <f>+B20</f>
        <v>AAA100</v>
      </c>
      <c r="F21" s="334"/>
      <c r="G21" s="334"/>
    </row>
    <row r="22" spans="1:8" ht="25.5">
      <c r="A22" s="767" t="s">
        <v>1967</v>
      </c>
      <c r="B22" s="317" t="s">
        <v>2867</v>
      </c>
      <c r="C22" s="317" t="s">
        <v>2868</v>
      </c>
      <c r="D22" s="328"/>
      <c r="E22" s="328"/>
      <c r="F22" s="333"/>
      <c r="G22" s="333"/>
    </row>
    <row r="23" spans="1:8" ht="24">
      <c r="A23" s="319" t="s">
        <v>1969</v>
      </c>
      <c r="B23" s="319" t="s">
        <v>3914</v>
      </c>
      <c r="C23" s="320" t="s">
        <v>3486</v>
      </c>
      <c r="D23" s="771"/>
      <c r="E23" s="771" t="str">
        <f>+B22</f>
        <v>AAA110</v>
      </c>
      <c r="F23" s="334"/>
      <c r="G23" s="334"/>
      <c r="H23" t="s">
        <v>3907</v>
      </c>
    </row>
    <row r="24" spans="1:8">
      <c r="A24" s="767" t="s">
        <v>1965</v>
      </c>
      <c r="B24" s="317" t="s">
        <v>2869</v>
      </c>
      <c r="C24" s="317" t="s">
        <v>2870</v>
      </c>
      <c r="D24" s="328"/>
      <c r="E24" s="328"/>
      <c r="F24" s="333"/>
      <c r="G24" s="333"/>
    </row>
    <row r="25" spans="1:8">
      <c r="A25" s="319"/>
      <c r="B25" s="319" t="s">
        <v>3915</v>
      </c>
      <c r="C25" s="320" t="s">
        <v>2672</v>
      </c>
      <c r="D25" s="771"/>
      <c r="E25" s="771" t="str">
        <f>+B24</f>
        <v>AAA120</v>
      </c>
      <c r="F25" s="334"/>
      <c r="G25" s="334"/>
    </row>
    <row r="26" spans="1:8">
      <c r="A26" s="767" t="s">
        <v>1965</v>
      </c>
      <c r="B26" s="317" t="s">
        <v>2871</v>
      </c>
      <c r="C26" s="317" t="s">
        <v>2872</v>
      </c>
      <c r="D26" s="328"/>
      <c r="E26" s="328"/>
      <c r="F26" s="333"/>
      <c r="G26" s="333"/>
    </row>
    <row r="27" spans="1:8">
      <c r="A27" s="767" t="s">
        <v>1967</v>
      </c>
      <c r="B27" s="317" t="s">
        <v>2873</v>
      </c>
      <c r="C27" s="317" t="s">
        <v>2874</v>
      </c>
      <c r="D27" s="328"/>
      <c r="E27" s="328"/>
      <c r="F27" s="333"/>
      <c r="G27" s="333"/>
    </row>
    <row r="28" spans="1:8">
      <c r="A28" s="772" t="s">
        <v>1969</v>
      </c>
      <c r="B28" s="772" t="s">
        <v>3916</v>
      </c>
      <c r="C28" s="773" t="s">
        <v>3487</v>
      </c>
      <c r="D28" s="774"/>
      <c r="E28" s="771" t="str">
        <f>+B27</f>
        <v>AAA140</v>
      </c>
      <c r="F28" s="775"/>
      <c r="G28" s="775"/>
    </row>
    <row r="29" spans="1:8">
      <c r="A29" s="767" t="s">
        <v>1967</v>
      </c>
      <c r="B29" s="317" t="s">
        <v>2875</v>
      </c>
      <c r="C29" s="317" t="s">
        <v>2876</v>
      </c>
      <c r="D29" s="328"/>
      <c r="E29" s="328"/>
      <c r="F29" s="333"/>
      <c r="G29" s="333"/>
    </row>
    <row r="30" spans="1:8">
      <c r="A30" s="319" t="s">
        <v>1969</v>
      </c>
      <c r="B30" s="319" t="s">
        <v>3917</v>
      </c>
      <c r="C30" s="320" t="s">
        <v>3488</v>
      </c>
      <c r="D30" s="771"/>
      <c r="E30" s="771" t="str">
        <f>+B29</f>
        <v>AAA150</v>
      </c>
      <c r="F30" s="334"/>
      <c r="G30" s="334"/>
      <c r="H30" t="s">
        <v>3907</v>
      </c>
    </row>
    <row r="31" spans="1:8">
      <c r="A31" s="767" t="s">
        <v>1967</v>
      </c>
      <c r="B31" s="317" t="s">
        <v>2877</v>
      </c>
      <c r="C31" s="317" t="s">
        <v>2878</v>
      </c>
      <c r="D31" s="328"/>
      <c r="E31" s="328"/>
      <c r="F31" s="333"/>
      <c r="G31" s="333"/>
    </row>
    <row r="32" spans="1:8">
      <c r="A32" s="319" t="s">
        <v>1969</v>
      </c>
      <c r="B32" s="319" t="s">
        <v>3918</v>
      </c>
      <c r="C32" s="320" t="s">
        <v>3489</v>
      </c>
      <c r="D32" s="771"/>
      <c r="E32" s="771" t="str">
        <f>+B31</f>
        <v>AAA160</v>
      </c>
      <c r="F32" s="334"/>
      <c r="G32" s="334"/>
    </row>
    <row r="33" spans="1:8">
      <c r="A33" s="767" t="s">
        <v>1967</v>
      </c>
      <c r="B33" s="317" t="s">
        <v>2879</v>
      </c>
      <c r="C33" s="317" t="s">
        <v>2880</v>
      </c>
      <c r="D33" s="328"/>
      <c r="E33" s="328"/>
      <c r="F33" s="333"/>
      <c r="G33" s="333"/>
    </row>
    <row r="34" spans="1:8">
      <c r="A34" s="319" t="s">
        <v>1969</v>
      </c>
      <c r="B34" s="319" t="s">
        <v>3919</v>
      </c>
      <c r="C34" s="320" t="s">
        <v>3490</v>
      </c>
      <c r="D34" s="771"/>
      <c r="E34" s="771" t="str">
        <f>+B33</f>
        <v>AAA170</v>
      </c>
      <c r="F34" s="334"/>
      <c r="G34" s="334"/>
      <c r="H34" t="s">
        <v>3907</v>
      </c>
    </row>
    <row r="35" spans="1:8">
      <c r="A35" s="767" t="s">
        <v>1967</v>
      </c>
      <c r="B35" s="317" t="s">
        <v>2881</v>
      </c>
      <c r="C35" s="317" t="s">
        <v>2882</v>
      </c>
      <c r="D35" s="328"/>
      <c r="E35" s="328"/>
      <c r="F35" s="333"/>
      <c r="G35" s="333"/>
    </row>
    <row r="36" spans="1:8">
      <c r="A36" s="319" t="s">
        <v>1969</v>
      </c>
      <c r="B36" s="319" t="s">
        <v>3920</v>
      </c>
      <c r="C36" s="320" t="s">
        <v>3491</v>
      </c>
      <c r="D36" s="771"/>
      <c r="E36" s="771" t="str">
        <f>+B35</f>
        <v>AAA180</v>
      </c>
      <c r="F36" s="334"/>
      <c r="G36" s="334"/>
    </row>
    <row r="37" spans="1:8">
      <c r="A37" s="767" t="s">
        <v>1967</v>
      </c>
      <c r="B37" s="317" t="s">
        <v>2883</v>
      </c>
      <c r="C37" s="317" t="s">
        <v>2884</v>
      </c>
      <c r="D37" s="328"/>
      <c r="E37" s="328"/>
      <c r="F37" s="333"/>
      <c r="G37" s="333"/>
    </row>
    <row r="38" spans="1:8">
      <c r="A38" s="319" t="s">
        <v>1969</v>
      </c>
      <c r="B38" s="319" t="s">
        <v>3921</v>
      </c>
      <c r="C38" s="320" t="s">
        <v>3492</v>
      </c>
      <c r="D38" s="771"/>
      <c r="E38" s="771" t="str">
        <f>+B37</f>
        <v>AAA190</v>
      </c>
      <c r="F38" s="334"/>
      <c r="G38" s="334"/>
      <c r="H38" t="s">
        <v>3907</v>
      </c>
    </row>
    <row r="39" spans="1:8">
      <c r="A39" s="767" t="s">
        <v>1967</v>
      </c>
      <c r="B39" s="317" t="s">
        <v>2885</v>
      </c>
      <c r="C39" s="317" t="s">
        <v>2886</v>
      </c>
      <c r="D39" s="328"/>
      <c r="E39" s="328"/>
      <c r="F39" s="333"/>
      <c r="G39" s="333"/>
    </row>
    <row r="40" spans="1:8">
      <c r="A40" s="319" t="s">
        <v>1969</v>
      </c>
      <c r="B40" s="319" t="s">
        <v>3922</v>
      </c>
      <c r="C40" s="320" t="s">
        <v>2674</v>
      </c>
      <c r="D40" s="771"/>
      <c r="E40" s="771" t="str">
        <f>+B39</f>
        <v>AAA200</v>
      </c>
      <c r="F40" s="334">
        <v>120526.9</v>
      </c>
      <c r="G40" s="334">
        <v>122766.82</v>
      </c>
    </row>
    <row r="41" spans="1:8">
      <c r="A41" s="767" t="s">
        <v>1967</v>
      </c>
      <c r="B41" s="317" t="s">
        <v>2887</v>
      </c>
      <c r="C41" s="317" t="s">
        <v>2888</v>
      </c>
      <c r="D41" s="328"/>
      <c r="E41" s="328"/>
      <c r="F41" s="333"/>
      <c r="G41" s="333"/>
    </row>
    <row r="42" spans="1:8">
      <c r="A42" s="319" t="s">
        <v>1969</v>
      </c>
      <c r="B42" s="319" t="s">
        <v>3923</v>
      </c>
      <c r="C42" s="320" t="s">
        <v>3493</v>
      </c>
      <c r="D42" s="771"/>
      <c r="E42" s="771" t="str">
        <f>+B41</f>
        <v>AAA210</v>
      </c>
      <c r="F42" s="334">
        <v>-118187</v>
      </c>
      <c r="G42" s="334">
        <v>-116698.64</v>
      </c>
      <c r="H42" t="s">
        <v>3907</v>
      </c>
    </row>
    <row r="43" spans="1:8">
      <c r="A43" s="767" t="s">
        <v>1965</v>
      </c>
      <c r="B43" s="317" t="s">
        <v>2889</v>
      </c>
      <c r="C43" s="317" t="s">
        <v>2890</v>
      </c>
      <c r="D43" s="328"/>
      <c r="E43" s="328"/>
      <c r="F43" s="333"/>
      <c r="G43" s="333"/>
    </row>
    <row r="44" spans="1:8">
      <c r="A44" s="767" t="s">
        <v>1967</v>
      </c>
      <c r="B44" s="317" t="s">
        <v>2891</v>
      </c>
      <c r="C44" s="317" t="s">
        <v>2892</v>
      </c>
      <c r="D44" s="328"/>
      <c r="E44" s="328"/>
      <c r="F44" s="333"/>
      <c r="G44" s="333"/>
    </row>
    <row r="45" spans="1:8">
      <c r="A45" s="319" t="s">
        <v>1969</v>
      </c>
      <c r="B45" s="319" t="s">
        <v>3924</v>
      </c>
      <c r="C45" s="320" t="s">
        <v>3494</v>
      </c>
      <c r="D45" s="771"/>
      <c r="E45" s="771" t="str">
        <f>+B44</f>
        <v>AAA230</v>
      </c>
      <c r="F45" s="334"/>
      <c r="G45" s="334"/>
      <c r="H45" t="s">
        <v>3907</v>
      </c>
    </row>
    <row r="46" spans="1:8">
      <c r="A46" s="767" t="s">
        <v>1967</v>
      </c>
      <c r="B46" s="317" t="s">
        <v>2893</v>
      </c>
      <c r="C46" s="317" t="s">
        <v>2894</v>
      </c>
      <c r="D46" s="328"/>
      <c r="E46" s="328"/>
      <c r="F46" s="333"/>
      <c r="G46" s="333"/>
    </row>
    <row r="47" spans="1:8">
      <c r="A47" s="319" t="s">
        <v>1969</v>
      </c>
      <c r="B47" s="319" t="s">
        <v>3925</v>
      </c>
      <c r="C47" s="320" t="s">
        <v>3495</v>
      </c>
      <c r="D47" s="771"/>
      <c r="E47" s="771" t="str">
        <f>+B46</f>
        <v>AAA240</v>
      </c>
      <c r="F47" s="334"/>
      <c r="G47" s="334"/>
      <c r="H47" t="s">
        <v>3907</v>
      </c>
    </row>
    <row r="48" spans="1:8" ht="25.5">
      <c r="A48" s="767" t="s">
        <v>1967</v>
      </c>
      <c r="B48" s="317" t="s">
        <v>2895</v>
      </c>
      <c r="C48" s="317" t="s">
        <v>2896</v>
      </c>
      <c r="D48" s="328"/>
      <c r="E48" s="328"/>
      <c r="F48" s="333"/>
      <c r="G48" s="333"/>
    </row>
    <row r="49" spans="1:8">
      <c r="A49" s="319" t="s">
        <v>1969</v>
      </c>
      <c r="B49" s="319" t="s">
        <v>3926</v>
      </c>
      <c r="C49" s="320" t="s">
        <v>3496</v>
      </c>
      <c r="D49" s="771"/>
      <c r="E49" s="771" t="str">
        <f>+B48</f>
        <v>AAA250</v>
      </c>
      <c r="F49" s="334"/>
      <c r="G49" s="334"/>
      <c r="H49" t="s">
        <v>3907</v>
      </c>
    </row>
    <row r="50" spans="1:8">
      <c r="A50" s="767" t="s">
        <v>1967</v>
      </c>
      <c r="B50" s="317" t="s">
        <v>2897</v>
      </c>
      <c r="C50" s="317" t="s">
        <v>2898</v>
      </c>
      <c r="D50" s="328"/>
      <c r="E50" s="328"/>
      <c r="F50" s="333"/>
      <c r="G50" s="333"/>
    </row>
    <row r="51" spans="1:8">
      <c r="A51" s="319" t="s">
        <v>1969</v>
      </c>
      <c r="B51" s="319" t="s">
        <v>3927</v>
      </c>
      <c r="C51" s="320" t="s">
        <v>3497</v>
      </c>
      <c r="D51" s="771"/>
      <c r="E51" s="771" t="str">
        <f>+B50</f>
        <v>AAA260</v>
      </c>
      <c r="F51" s="334"/>
      <c r="G51" s="334"/>
      <c r="H51" t="s">
        <v>3907</v>
      </c>
    </row>
    <row r="52" spans="1:8">
      <c r="A52" s="767" t="s">
        <v>1963</v>
      </c>
      <c r="B52" s="317" t="s">
        <v>2899</v>
      </c>
      <c r="C52" s="317" t="s">
        <v>3928</v>
      </c>
      <c r="D52" s="328"/>
      <c r="E52" s="328"/>
      <c r="F52" s="333"/>
      <c r="G52" s="333"/>
    </row>
    <row r="53" spans="1:8">
      <c r="A53" s="767" t="s">
        <v>1965</v>
      </c>
      <c r="B53" s="317" t="s">
        <v>2901</v>
      </c>
      <c r="C53" s="317" t="s">
        <v>2902</v>
      </c>
      <c r="D53" s="328"/>
      <c r="E53" s="328"/>
      <c r="F53" s="333"/>
      <c r="G53" s="333"/>
    </row>
    <row r="54" spans="1:8">
      <c r="A54" s="767" t="s">
        <v>1967</v>
      </c>
      <c r="B54" s="317" t="s">
        <v>2903</v>
      </c>
      <c r="C54" s="317" t="s">
        <v>2904</v>
      </c>
      <c r="D54" s="328"/>
      <c r="E54" s="328"/>
      <c r="F54" s="333"/>
      <c r="G54" s="333"/>
    </row>
    <row r="55" spans="1:8">
      <c r="A55" s="319" t="s">
        <v>1969</v>
      </c>
      <c r="B55" s="319" t="s">
        <v>3929</v>
      </c>
      <c r="C55" s="320" t="s">
        <v>2679</v>
      </c>
      <c r="D55" s="771"/>
      <c r="E55" s="771" t="str">
        <f>+B54</f>
        <v>AAA290</v>
      </c>
      <c r="F55" s="334"/>
      <c r="G55" s="334"/>
    </row>
    <row r="56" spans="1:8">
      <c r="A56" s="767" t="s">
        <v>1967</v>
      </c>
      <c r="B56" s="317" t="s">
        <v>2905</v>
      </c>
      <c r="C56" s="317" t="s">
        <v>2906</v>
      </c>
      <c r="D56" s="328"/>
      <c r="E56" s="328"/>
      <c r="F56" s="333"/>
      <c r="G56" s="333"/>
    </row>
    <row r="57" spans="1:8">
      <c r="A57" s="319" t="s">
        <v>1969</v>
      </c>
      <c r="B57" s="319" t="s">
        <v>3930</v>
      </c>
      <c r="C57" s="320" t="s">
        <v>2681</v>
      </c>
      <c r="D57" s="771"/>
      <c r="E57" s="771" t="str">
        <f>+B56</f>
        <v>AAA300</v>
      </c>
      <c r="F57" s="334"/>
      <c r="G57" s="334"/>
    </row>
    <row r="58" spans="1:8">
      <c r="A58" s="767" t="s">
        <v>1965</v>
      </c>
      <c r="B58" s="317" t="s">
        <v>2907</v>
      </c>
      <c r="C58" s="317" t="s">
        <v>2908</v>
      </c>
      <c r="D58" s="328"/>
      <c r="E58" s="328"/>
      <c r="F58" s="333"/>
      <c r="G58" s="333"/>
    </row>
    <row r="59" spans="1:8">
      <c r="A59" s="767" t="s">
        <v>1967</v>
      </c>
      <c r="B59" s="317" t="s">
        <v>2909</v>
      </c>
      <c r="C59" s="317" t="s">
        <v>2910</v>
      </c>
      <c r="D59" s="328"/>
      <c r="E59" s="328"/>
      <c r="F59" s="333"/>
      <c r="G59" s="333"/>
    </row>
    <row r="60" spans="1:8">
      <c r="A60" s="767" t="s">
        <v>1969</v>
      </c>
      <c r="B60" s="317" t="s">
        <v>2911</v>
      </c>
      <c r="C60" s="317" t="s">
        <v>2912</v>
      </c>
      <c r="D60" s="328"/>
      <c r="E60" s="328"/>
      <c r="F60" s="333"/>
      <c r="G60" s="333"/>
    </row>
    <row r="61" spans="1:8">
      <c r="A61" s="319" t="s">
        <v>1970</v>
      </c>
      <c r="B61" s="319" t="s">
        <v>3931</v>
      </c>
      <c r="C61" s="319" t="s">
        <v>2683</v>
      </c>
      <c r="D61" s="771"/>
      <c r="E61" s="771" t="str">
        <f>+B60</f>
        <v>AAA330</v>
      </c>
      <c r="F61" s="334"/>
      <c r="G61" s="334"/>
    </row>
    <row r="62" spans="1:8">
      <c r="A62" s="767" t="s">
        <v>1969</v>
      </c>
      <c r="B62" s="317" t="s">
        <v>2913</v>
      </c>
      <c r="C62" s="317" t="s">
        <v>2914</v>
      </c>
      <c r="D62" s="328"/>
      <c r="E62" s="328"/>
      <c r="F62" s="333"/>
      <c r="G62" s="333"/>
    </row>
    <row r="63" spans="1:8">
      <c r="A63" s="319" t="s">
        <v>1970</v>
      </c>
      <c r="B63" s="319" t="s">
        <v>3932</v>
      </c>
      <c r="C63" s="320" t="s">
        <v>3498</v>
      </c>
      <c r="D63" s="771"/>
      <c r="E63" s="771" t="str">
        <f>+B62</f>
        <v>AAA340</v>
      </c>
      <c r="F63" s="334"/>
      <c r="G63" s="334"/>
      <c r="H63" t="s">
        <v>3907</v>
      </c>
    </row>
    <row r="64" spans="1:8">
      <c r="A64" s="767" t="s">
        <v>1967</v>
      </c>
      <c r="B64" s="317" t="s">
        <v>2915</v>
      </c>
      <c r="C64" s="317" t="s">
        <v>2916</v>
      </c>
      <c r="D64" s="328"/>
      <c r="E64" s="328"/>
      <c r="F64" s="333"/>
      <c r="G64" s="333"/>
    </row>
    <row r="65" spans="1:8">
      <c r="A65" s="767" t="s">
        <v>1969</v>
      </c>
      <c r="B65" s="317" t="s">
        <v>2917</v>
      </c>
      <c r="C65" s="317" t="s">
        <v>2918</v>
      </c>
      <c r="D65" s="328"/>
      <c r="E65" s="328"/>
      <c r="F65" s="333"/>
      <c r="G65" s="333"/>
    </row>
    <row r="66" spans="1:8">
      <c r="A66" s="319" t="s">
        <v>1970</v>
      </c>
      <c r="B66" s="319" t="s">
        <v>3933</v>
      </c>
      <c r="C66" s="320" t="s">
        <v>2684</v>
      </c>
      <c r="D66" s="771"/>
      <c r="E66" s="771" t="str">
        <f>+B65</f>
        <v>AAA360</v>
      </c>
      <c r="F66" s="334"/>
      <c r="G66" s="334"/>
    </row>
    <row r="67" spans="1:8">
      <c r="A67" s="767" t="s">
        <v>1969</v>
      </c>
      <c r="B67" s="317" t="s">
        <v>2919</v>
      </c>
      <c r="C67" s="317" t="s">
        <v>2920</v>
      </c>
      <c r="D67" s="328"/>
      <c r="E67" s="328"/>
      <c r="F67" s="333"/>
      <c r="G67" s="333"/>
    </row>
    <row r="68" spans="1:8">
      <c r="A68" s="319" t="s">
        <v>1970</v>
      </c>
      <c r="B68" s="319" t="s">
        <v>3934</v>
      </c>
      <c r="C68" s="320" t="s">
        <v>3499</v>
      </c>
      <c r="D68" s="771"/>
      <c r="E68" s="771" t="str">
        <f>+B67</f>
        <v>AAA370</v>
      </c>
      <c r="F68" s="334"/>
      <c r="G68" s="334"/>
      <c r="H68" t="s">
        <v>3907</v>
      </c>
    </row>
    <row r="69" spans="1:8">
      <c r="A69" s="767" t="s">
        <v>1965</v>
      </c>
      <c r="B69" s="317" t="s">
        <v>2921</v>
      </c>
      <c r="C69" s="317" t="s">
        <v>2922</v>
      </c>
      <c r="D69" s="328"/>
      <c r="E69" s="328"/>
      <c r="F69" s="333"/>
      <c r="G69" s="333"/>
    </row>
    <row r="70" spans="1:8">
      <c r="A70" s="767" t="s">
        <v>1967</v>
      </c>
      <c r="B70" s="317" t="s">
        <v>2923</v>
      </c>
      <c r="C70" s="317" t="s">
        <v>2924</v>
      </c>
      <c r="D70" s="328"/>
      <c r="E70" s="328"/>
      <c r="F70" s="333"/>
      <c r="G70" s="333"/>
    </row>
    <row r="71" spans="1:8">
      <c r="A71" s="319" t="s">
        <v>1969</v>
      </c>
      <c r="B71" s="319" t="s">
        <v>3935</v>
      </c>
      <c r="C71" s="320" t="s">
        <v>2685</v>
      </c>
      <c r="D71" s="771"/>
      <c r="E71" s="771" t="str">
        <f>+B70</f>
        <v>AAA390</v>
      </c>
      <c r="F71" s="334">
        <v>235098.55</v>
      </c>
      <c r="G71" s="334">
        <v>246273.95</v>
      </c>
    </row>
    <row r="72" spans="1:8">
      <c r="A72" s="767" t="s">
        <v>1967</v>
      </c>
      <c r="B72" s="317" t="s">
        <v>2925</v>
      </c>
      <c r="C72" s="317" t="s">
        <v>2926</v>
      </c>
      <c r="D72" s="328"/>
      <c r="E72" s="328"/>
      <c r="F72" s="333"/>
      <c r="G72" s="333"/>
    </row>
    <row r="73" spans="1:8">
      <c r="A73" s="319" t="s">
        <v>1969</v>
      </c>
      <c r="B73" s="319" t="s">
        <v>3936</v>
      </c>
      <c r="C73" s="320" t="s">
        <v>3500</v>
      </c>
      <c r="D73" s="771"/>
      <c r="E73" s="771" t="str">
        <f>+B72</f>
        <v>AAA400</v>
      </c>
      <c r="F73" s="334">
        <v>-155036.47</v>
      </c>
      <c r="G73" s="334">
        <v>-143336.87</v>
      </c>
      <c r="H73" t="s">
        <v>3907</v>
      </c>
    </row>
    <row r="74" spans="1:8">
      <c r="A74" s="767" t="s">
        <v>1965</v>
      </c>
      <c r="B74" s="317" t="s">
        <v>2927</v>
      </c>
      <c r="C74" s="317" t="s">
        <v>2928</v>
      </c>
      <c r="D74" s="328"/>
      <c r="E74" s="328"/>
      <c r="F74" s="333"/>
      <c r="G74" s="333"/>
    </row>
    <row r="75" spans="1:8">
      <c r="A75" s="767" t="s">
        <v>1967</v>
      </c>
      <c r="B75" s="317" t="s">
        <v>2929</v>
      </c>
      <c r="C75" s="317" t="s">
        <v>2930</v>
      </c>
      <c r="D75" s="328"/>
      <c r="E75" s="328"/>
      <c r="F75" s="333"/>
      <c r="G75" s="333"/>
    </row>
    <row r="76" spans="1:8">
      <c r="A76" s="319" t="s">
        <v>1969</v>
      </c>
      <c r="B76" s="319" t="s">
        <v>3937</v>
      </c>
      <c r="C76" s="320" t="s">
        <v>2686</v>
      </c>
      <c r="D76" s="771"/>
      <c r="E76" s="771" t="str">
        <f>+B75</f>
        <v>AAA420</v>
      </c>
      <c r="F76" s="334">
        <v>198389.26</v>
      </c>
      <c r="G76" s="334">
        <v>198389.26</v>
      </c>
    </row>
    <row r="77" spans="1:8">
      <c r="A77" s="767" t="s">
        <v>1967</v>
      </c>
      <c r="B77" s="317" t="s">
        <v>2931</v>
      </c>
      <c r="C77" s="317" t="s">
        <v>2932</v>
      </c>
      <c r="D77" s="328"/>
      <c r="E77" s="328"/>
      <c r="F77" s="333"/>
      <c r="G77" s="333"/>
    </row>
    <row r="78" spans="1:8">
      <c r="A78" s="319" t="s">
        <v>1969</v>
      </c>
      <c r="B78" s="319" t="s">
        <v>3938</v>
      </c>
      <c r="C78" s="320" t="s">
        <v>3501</v>
      </c>
      <c r="D78" s="771"/>
      <c r="E78" s="771" t="str">
        <f>+B77</f>
        <v>AAA430</v>
      </c>
      <c r="F78" s="334">
        <v>-177600.62</v>
      </c>
      <c r="G78" s="334">
        <v>-153931.91</v>
      </c>
      <c r="H78" t="s">
        <v>3907</v>
      </c>
    </row>
    <row r="79" spans="1:8">
      <c r="A79" s="767" t="s">
        <v>1965</v>
      </c>
      <c r="B79" s="317" t="s">
        <v>2933</v>
      </c>
      <c r="C79" s="317" t="s">
        <v>2934</v>
      </c>
      <c r="D79" s="328"/>
      <c r="E79" s="328"/>
      <c r="F79" s="333"/>
      <c r="G79" s="333"/>
    </row>
    <row r="80" spans="1:8">
      <c r="A80" s="767" t="s">
        <v>1967</v>
      </c>
      <c r="B80" s="317" t="s">
        <v>2935</v>
      </c>
      <c r="C80" s="317" t="s">
        <v>2936</v>
      </c>
      <c r="D80" s="328"/>
      <c r="E80" s="328"/>
      <c r="F80" s="333"/>
      <c r="G80" s="333"/>
    </row>
    <row r="81" spans="1:8">
      <c r="A81" s="319" t="s">
        <v>1969</v>
      </c>
      <c r="B81" s="319" t="s">
        <v>3939</v>
      </c>
      <c r="C81" s="320" t="s">
        <v>2687</v>
      </c>
      <c r="D81" s="771"/>
      <c r="E81" s="771" t="str">
        <f>+B80</f>
        <v>AAA450</v>
      </c>
      <c r="F81" s="334">
        <v>437131.16</v>
      </c>
      <c r="G81" s="334">
        <v>427161.32</v>
      </c>
    </row>
    <row r="82" spans="1:8">
      <c r="A82" s="767" t="s">
        <v>1967</v>
      </c>
      <c r="B82" s="317" t="s">
        <v>2937</v>
      </c>
      <c r="C82" s="317" t="s">
        <v>2938</v>
      </c>
      <c r="D82" s="328"/>
      <c r="E82" s="328"/>
      <c r="F82" s="333"/>
      <c r="G82" s="333"/>
    </row>
    <row r="83" spans="1:8">
      <c r="A83" s="319" t="s">
        <v>1969</v>
      </c>
      <c r="B83" s="319" t="s">
        <v>3940</v>
      </c>
      <c r="C83" s="320" t="s">
        <v>3502</v>
      </c>
      <c r="D83" s="771"/>
      <c r="E83" s="771" t="str">
        <f>+B82</f>
        <v>AAA460</v>
      </c>
      <c r="F83" s="334">
        <v>-353554.43</v>
      </c>
      <c r="G83" s="334">
        <v>-324213.96000000002</v>
      </c>
      <c r="H83" t="s">
        <v>3907</v>
      </c>
    </row>
    <row r="84" spans="1:8">
      <c r="A84" s="767" t="s">
        <v>1965</v>
      </c>
      <c r="B84" s="317" t="s">
        <v>2939</v>
      </c>
      <c r="C84" s="317" t="s">
        <v>2940</v>
      </c>
      <c r="D84" s="328"/>
      <c r="E84" s="328"/>
      <c r="F84" s="333"/>
      <c r="G84" s="333"/>
    </row>
    <row r="85" spans="1:8">
      <c r="A85" s="767" t="s">
        <v>1967</v>
      </c>
      <c r="B85" s="317" t="s">
        <v>2941</v>
      </c>
      <c r="C85" s="317" t="s">
        <v>2942</v>
      </c>
      <c r="D85" s="328"/>
      <c r="E85" s="328"/>
      <c r="F85" s="333"/>
      <c r="G85" s="333"/>
    </row>
    <row r="86" spans="1:8">
      <c r="A86" s="319" t="s">
        <v>1969</v>
      </c>
      <c r="B86" s="319" t="s">
        <v>3941</v>
      </c>
      <c r="C86" s="320" t="s">
        <v>2689</v>
      </c>
      <c r="D86" s="771"/>
      <c r="E86" s="771" t="str">
        <f>+B85</f>
        <v>AAA480</v>
      </c>
      <c r="F86" s="334">
        <v>96404.45</v>
      </c>
      <c r="G86" s="334">
        <v>96404.45</v>
      </c>
    </row>
    <row r="87" spans="1:8">
      <c r="A87" s="767" t="s">
        <v>1967</v>
      </c>
      <c r="B87" s="317" t="s">
        <v>2943</v>
      </c>
      <c r="C87" s="317" t="s">
        <v>2944</v>
      </c>
      <c r="D87" s="328"/>
      <c r="E87" s="328"/>
      <c r="F87" s="333"/>
      <c r="G87" s="333"/>
    </row>
    <row r="88" spans="1:8">
      <c r="A88" s="319" t="s">
        <v>1969</v>
      </c>
      <c r="B88" s="319" t="s">
        <v>3942</v>
      </c>
      <c r="C88" s="320" t="s">
        <v>3503</v>
      </c>
      <c r="D88" s="771"/>
      <c r="E88" s="771" t="str">
        <f>+B87</f>
        <v>AAA490</v>
      </c>
      <c r="F88" s="334">
        <v>-96404.44</v>
      </c>
      <c r="G88" s="334">
        <v>-95397.62</v>
      </c>
      <c r="H88" t="s">
        <v>3907</v>
      </c>
    </row>
    <row r="89" spans="1:8">
      <c r="A89" s="767" t="s">
        <v>1965</v>
      </c>
      <c r="B89" s="317" t="s">
        <v>2945</v>
      </c>
      <c r="C89" s="317" t="s">
        <v>2946</v>
      </c>
      <c r="D89" s="328"/>
      <c r="E89" s="328"/>
      <c r="F89" s="333"/>
      <c r="G89" s="333"/>
    </row>
    <row r="90" spans="1:8">
      <c r="A90" s="319" t="s">
        <v>1967</v>
      </c>
      <c r="B90" s="319" t="s">
        <v>3943</v>
      </c>
      <c r="C90" s="320" t="s">
        <v>2691</v>
      </c>
      <c r="D90" s="771"/>
      <c r="E90" s="771" t="str">
        <f>+B89</f>
        <v>AAA500</v>
      </c>
      <c r="F90" s="334"/>
      <c r="G90" s="334"/>
    </row>
    <row r="91" spans="1:8">
      <c r="A91" s="767" t="s">
        <v>1965</v>
      </c>
      <c r="B91" s="317" t="s">
        <v>2947</v>
      </c>
      <c r="C91" s="317" t="s">
        <v>2948</v>
      </c>
      <c r="D91" s="328"/>
      <c r="E91" s="328"/>
      <c r="F91" s="333"/>
      <c r="G91" s="333"/>
    </row>
    <row r="92" spans="1:8">
      <c r="A92" s="767" t="s">
        <v>1967</v>
      </c>
      <c r="B92" s="317" t="s">
        <v>2949</v>
      </c>
      <c r="C92" s="317" t="s">
        <v>2950</v>
      </c>
      <c r="D92" s="328"/>
      <c r="E92" s="328"/>
      <c r="F92" s="333"/>
      <c r="G92" s="333"/>
    </row>
    <row r="93" spans="1:8">
      <c r="A93" s="319" t="s">
        <v>1969</v>
      </c>
      <c r="B93" s="319" t="s">
        <v>3944</v>
      </c>
      <c r="C93" s="320" t="s">
        <v>2693</v>
      </c>
      <c r="D93" s="771"/>
      <c r="E93" s="771" t="str">
        <f>+B92</f>
        <v>AAA520</v>
      </c>
      <c r="F93" s="334">
        <v>872700.89</v>
      </c>
      <c r="G93" s="334">
        <v>835019.21</v>
      </c>
    </row>
    <row r="94" spans="1:8">
      <c r="A94" s="767" t="s">
        <v>1967</v>
      </c>
      <c r="B94" s="317" t="s">
        <v>2951</v>
      </c>
      <c r="C94" s="317" t="s">
        <v>2952</v>
      </c>
      <c r="D94" s="328"/>
      <c r="E94" s="328"/>
      <c r="F94" s="333"/>
      <c r="G94" s="333"/>
    </row>
    <row r="95" spans="1:8">
      <c r="A95" s="319" t="s">
        <v>1969</v>
      </c>
      <c r="B95" s="319" t="s">
        <v>3945</v>
      </c>
      <c r="C95" s="320" t="s">
        <v>3504</v>
      </c>
      <c r="D95" s="771"/>
      <c r="E95" s="771" t="str">
        <f>+B94</f>
        <v>AAA530</v>
      </c>
      <c r="F95" s="334">
        <v>-616120.79</v>
      </c>
      <c r="G95" s="334">
        <v>-670736.37</v>
      </c>
      <c r="H95" t="s">
        <v>3907</v>
      </c>
    </row>
    <row r="96" spans="1:8">
      <c r="A96" s="767" t="s">
        <v>1965</v>
      </c>
      <c r="B96" s="317" t="s">
        <v>2953</v>
      </c>
      <c r="C96" s="317" t="s">
        <v>2954</v>
      </c>
      <c r="D96" s="328"/>
      <c r="E96" s="328"/>
      <c r="F96" s="333"/>
      <c r="G96" s="333"/>
    </row>
    <row r="97" spans="1:8">
      <c r="A97" s="319" t="s">
        <v>1967</v>
      </c>
      <c r="B97" s="319" t="s">
        <v>3946</v>
      </c>
      <c r="C97" s="320" t="s">
        <v>2695</v>
      </c>
      <c r="D97" s="771"/>
      <c r="E97" s="771" t="str">
        <f>+B96</f>
        <v>AAA540</v>
      </c>
      <c r="F97" s="334"/>
      <c r="G97" s="334"/>
    </row>
    <row r="98" spans="1:8">
      <c r="A98" s="767">
        <v>4</v>
      </c>
      <c r="B98" s="317" t="s">
        <v>2955</v>
      </c>
      <c r="C98" s="317" t="s">
        <v>2956</v>
      </c>
      <c r="D98" s="328"/>
      <c r="E98" s="328"/>
      <c r="F98" s="333"/>
      <c r="G98" s="333"/>
    </row>
    <row r="99" spans="1:8">
      <c r="A99" s="767" t="s">
        <v>1967</v>
      </c>
      <c r="B99" s="317" t="s">
        <v>2957</v>
      </c>
      <c r="C99" s="317" t="s">
        <v>2958</v>
      </c>
      <c r="D99" s="328"/>
      <c r="E99" s="328"/>
      <c r="F99" s="333"/>
      <c r="G99" s="333"/>
    </row>
    <row r="100" spans="1:8">
      <c r="A100" s="319">
        <v>6</v>
      </c>
      <c r="B100" s="319" t="s">
        <v>3947</v>
      </c>
      <c r="C100" s="320" t="s">
        <v>3505</v>
      </c>
      <c r="D100" s="771"/>
      <c r="E100" s="771" t="str">
        <f>+B99</f>
        <v>AAA560</v>
      </c>
      <c r="F100" s="334"/>
      <c r="G100" s="334"/>
      <c r="H100" t="s">
        <v>3907</v>
      </c>
    </row>
    <row r="101" spans="1:8">
      <c r="A101" s="319">
        <v>6</v>
      </c>
      <c r="B101" s="319" t="s">
        <v>3948</v>
      </c>
      <c r="C101" s="320" t="s">
        <v>3506</v>
      </c>
      <c r="D101" s="771"/>
      <c r="E101" s="771" t="str">
        <f>+E100</f>
        <v>AAA560</v>
      </c>
      <c r="F101" s="334"/>
      <c r="G101" s="334"/>
      <c r="H101" t="s">
        <v>3907</v>
      </c>
    </row>
    <row r="102" spans="1:8">
      <c r="A102" s="767" t="s">
        <v>1967</v>
      </c>
      <c r="B102" s="317" t="s">
        <v>2959</v>
      </c>
      <c r="C102" s="317" t="s">
        <v>2960</v>
      </c>
      <c r="D102" s="328"/>
      <c r="E102" s="328"/>
      <c r="F102" s="333"/>
      <c r="G102" s="333"/>
    </row>
    <row r="103" spans="1:8">
      <c r="A103" s="319" t="s">
        <v>1969</v>
      </c>
      <c r="B103" s="319" t="s">
        <v>3949</v>
      </c>
      <c r="C103" s="320" t="s">
        <v>3507</v>
      </c>
      <c r="D103" s="771"/>
      <c r="E103" s="771" t="str">
        <f>+B102</f>
        <v>AAA570</v>
      </c>
      <c r="F103" s="334"/>
      <c r="G103" s="334"/>
      <c r="H103" t="s">
        <v>3907</v>
      </c>
    </row>
    <row r="104" spans="1:8">
      <c r="A104" s="319">
        <v>6</v>
      </c>
      <c r="B104" s="319" t="s">
        <v>3950</v>
      </c>
      <c r="C104" s="320" t="s">
        <v>3508</v>
      </c>
      <c r="D104" s="771"/>
      <c r="E104" s="771" t="str">
        <f>+E103</f>
        <v>AAA570</v>
      </c>
      <c r="F104" s="334"/>
      <c r="G104" s="334"/>
      <c r="H104" t="s">
        <v>3907</v>
      </c>
    </row>
    <row r="105" spans="1:8">
      <c r="A105" s="767" t="s">
        <v>1967</v>
      </c>
      <c r="B105" s="317" t="s">
        <v>2961</v>
      </c>
      <c r="C105" s="317" t="s">
        <v>2962</v>
      </c>
      <c r="D105" s="328"/>
      <c r="E105" s="328"/>
      <c r="F105" s="333"/>
      <c r="G105" s="333"/>
    </row>
    <row r="106" spans="1:8">
      <c r="A106" s="319" t="s">
        <v>1969</v>
      </c>
      <c r="B106" s="319" t="s">
        <v>3951</v>
      </c>
      <c r="C106" s="320" t="s">
        <v>3509</v>
      </c>
      <c r="D106" s="771"/>
      <c r="E106" s="771" t="str">
        <f>+B105</f>
        <v>AAA580</v>
      </c>
      <c r="F106" s="334"/>
      <c r="G106" s="334"/>
      <c r="H106" t="s">
        <v>3907</v>
      </c>
    </row>
    <row r="107" spans="1:8">
      <c r="A107" s="767" t="s">
        <v>1967</v>
      </c>
      <c r="B107" s="317" t="s">
        <v>2963</v>
      </c>
      <c r="C107" s="317" t="s">
        <v>2964</v>
      </c>
      <c r="D107" s="328"/>
      <c r="E107" s="328"/>
      <c r="F107" s="333"/>
      <c r="G107" s="333"/>
    </row>
    <row r="108" spans="1:8">
      <c r="A108" s="319" t="s">
        <v>1969</v>
      </c>
      <c r="B108" s="319" t="s">
        <v>3952</v>
      </c>
      <c r="C108" s="320" t="s">
        <v>3510</v>
      </c>
      <c r="D108" s="771"/>
      <c r="E108" s="771" t="str">
        <f>+B107</f>
        <v>AAA590</v>
      </c>
      <c r="F108" s="334"/>
      <c r="G108" s="334"/>
      <c r="H108" t="s">
        <v>3907</v>
      </c>
    </row>
    <row r="109" spans="1:8">
      <c r="A109" s="767" t="s">
        <v>1967</v>
      </c>
      <c r="B109" s="317" t="s">
        <v>2965</v>
      </c>
      <c r="C109" s="317" t="s">
        <v>2966</v>
      </c>
      <c r="D109" s="328"/>
      <c r="E109" s="328"/>
      <c r="F109" s="333"/>
      <c r="G109" s="333"/>
    </row>
    <row r="110" spans="1:8">
      <c r="A110" s="319" t="s">
        <v>1969</v>
      </c>
      <c r="B110" s="319" t="s">
        <v>3953</v>
      </c>
      <c r="C110" s="320" t="s">
        <v>3511</v>
      </c>
      <c r="D110" s="771"/>
      <c r="E110" s="771" t="str">
        <f>+B109</f>
        <v>AAA600</v>
      </c>
      <c r="F110" s="334"/>
      <c r="G110" s="334"/>
      <c r="H110" t="s">
        <v>3907</v>
      </c>
    </row>
    <row r="111" spans="1:8">
      <c r="A111" s="767" t="s">
        <v>1967</v>
      </c>
      <c r="B111" s="317" t="s">
        <v>2967</v>
      </c>
      <c r="C111" s="317" t="s">
        <v>2968</v>
      </c>
      <c r="D111" s="328"/>
      <c r="E111" s="328"/>
      <c r="F111" s="333"/>
      <c r="G111" s="333"/>
    </row>
    <row r="112" spans="1:8">
      <c r="A112" s="319" t="s">
        <v>1969</v>
      </c>
      <c r="B112" s="319" t="s">
        <v>3954</v>
      </c>
      <c r="C112" s="320" t="s">
        <v>3512</v>
      </c>
      <c r="D112" s="771"/>
      <c r="E112" s="771" t="str">
        <f>+B111</f>
        <v>AAA610</v>
      </c>
      <c r="F112" s="334"/>
      <c r="G112" s="334"/>
      <c r="H112" t="s">
        <v>3907</v>
      </c>
    </row>
    <row r="113" spans="1:8">
      <c r="A113" s="767" t="s">
        <v>1967</v>
      </c>
      <c r="B113" s="317" t="s">
        <v>2969</v>
      </c>
      <c r="C113" s="317" t="s">
        <v>2970</v>
      </c>
      <c r="D113" s="328"/>
      <c r="E113" s="328"/>
      <c r="F113" s="333"/>
      <c r="G113" s="333"/>
    </row>
    <row r="114" spans="1:8">
      <c r="A114" s="319" t="s">
        <v>1969</v>
      </c>
      <c r="B114" s="319" t="s">
        <v>3955</v>
      </c>
      <c r="C114" s="320" t="s">
        <v>3513</v>
      </c>
      <c r="D114" s="771"/>
      <c r="E114" s="771" t="str">
        <f>+B113</f>
        <v>AAA620</v>
      </c>
      <c r="F114" s="334"/>
      <c r="G114" s="334"/>
      <c r="H114" t="s">
        <v>3907</v>
      </c>
    </row>
    <row r="115" spans="1:8">
      <c r="A115" s="767" t="s">
        <v>1967</v>
      </c>
      <c r="B115" s="317" t="s">
        <v>2971</v>
      </c>
      <c r="C115" s="317" t="s">
        <v>2972</v>
      </c>
      <c r="D115" s="328"/>
      <c r="E115" s="328"/>
      <c r="F115" s="333"/>
      <c r="G115" s="333"/>
    </row>
    <row r="116" spans="1:8">
      <c r="A116" s="319" t="s">
        <v>1969</v>
      </c>
      <c r="B116" s="319" t="s">
        <v>3956</v>
      </c>
      <c r="C116" s="320" t="s">
        <v>3514</v>
      </c>
      <c r="D116" s="771"/>
      <c r="E116" s="771" t="str">
        <f>+B115</f>
        <v>AAA630</v>
      </c>
      <c r="F116" s="334"/>
      <c r="G116" s="334"/>
      <c r="H116" t="s">
        <v>3907</v>
      </c>
    </row>
    <row r="117" spans="1:8">
      <c r="A117" s="767" t="s">
        <v>1963</v>
      </c>
      <c r="B117" s="317" t="s">
        <v>2973</v>
      </c>
      <c r="C117" s="317" t="s">
        <v>3957</v>
      </c>
      <c r="D117" s="328"/>
      <c r="E117" s="328"/>
      <c r="F117" s="333"/>
      <c r="G117" s="333"/>
    </row>
    <row r="118" spans="1:8">
      <c r="A118" s="767" t="s">
        <v>1965</v>
      </c>
      <c r="B118" s="317" t="s">
        <v>2975</v>
      </c>
      <c r="C118" s="317" t="s">
        <v>2976</v>
      </c>
      <c r="D118" s="328"/>
      <c r="E118" s="328"/>
      <c r="F118" s="333"/>
      <c r="G118" s="333"/>
    </row>
    <row r="119" spans="1:8">
      <c r="A119" s="767" t="s">
        <v>1967</v>
      </c>
      <c r="B119" s="317" t="s">
        <v>2977</v>
      </c>
      <c r="C119" s="317" t="s">
        <v>2978</v>
      </c>
      <c r="D119" s="328"/>
      <c r="E119" s="328"/>
      <c r="F119" s="333"/>
      <c r="G119" s="333"/>
    </row>
    <row r="120" spans="1:8">
      <c r="A120" s="319">
        <v>6</v>
      </c>
      <c r="B120" s="319" t="s">
        <v>3958</v>
      </c>
      <c r="C120" s="320" t="s">
        <v>2701</v>
      </c>
      <c r="D120" s="771"/>
      <c r="E120" s="771" t="str">
        <f>+B119</f>
        <v>AAA660</v>
      </c>
      <c r="F120" s="334"/>
      <c r="G120" s="334"/>
    </row>
    <row r="121" spans="1:8">
      <c r="A121" s="319" t="s">
        <v>1969</v>
      </c>
      <c r="B121" s="776" t="s">
        <v>3959</v>
      </c>
      <c r="C121" s="320" t="s">
        <v>3515</v>
      </c>
      <c r="D121" s="771"/>
      <c r="E121" s="771" t="str">
        <f>+E120</f>
        <v>AAA660</v>
      </c>
      <c r="F121" s="334"/>
      <c r="G121" s="334"/>
      <c r="H121" t="s">
        <v>3907</v>
      </c>
    </row>
    <row r="122" spans="1:8">
      <c r="A122" s="767" t="s">
        <v>1967</v>
      </c>
      <c r="B122" s="317" t="s">
        <v>2979</v>
      </c>
      <c r="C122" s="317" t="s">
        <v>2980</v>
      </c>
      <c r="D122" s="328"/>
      <c r="E122" s="328"/>
      <c r="F122" s="333"/>
      <c r="G122" s="333"/>
    </row>
    <row r="123" spans="1:8">
      <c r="A123" s="319">
        <v>6</v>
      </c>
      <c r="B123" s="319" t="s">
        <v>3960</v>
      </c>
      <c r="C123" s="320" t="s">
        <v>2702</v>
      </c>
      <c r="D123" s="771"/>
      <c r="E123" s="771" t="str">
        <f>+B122</f>
        <v>AAA670</v>
      </c>
      <c r="F123" s="334"/>
      <c r="G123" s="334"/>
    </row>
    <row r="124" spans="1:8">
      <c r="A124" s="319" t="s">
        <v>1969</v>
      </c>
      <c r="B124" s="319" t="s">
        <v>3961</v>
      </c>
      <c r="C124" s="320" t="s">
        <v>3516</v>
      </c>
      <c r="D124" s="771"/>
      <c r="E124" s="771" t="str">
        <f>+E123</f>
        <v>AAA670</v>
      </c>
      <c r="F124" s="334"/>
      <c r="G124" s="334"/>
      <c r="H124" t="str">
        <f>+H121</f>
        <v>SEGNO NEGATIVO</v>
      </c>
    </row>
    <row r="125" spans="1:8">
      <c r="A125" s="767" t="s">
        <v>1967</v>
      </c>
      <c r="B125" s="317" t="s">
        <v>2981</v>
      </c>
      <c r="C125" s="317" t="s">
        <v>2982</v>
      </c>
      <c r="D125" s="328"/>
      <c r="E125" s="328"/>
      <c r="F125" s="333"/>
      <c r="G125" s="333"/>
    </row>
    <row r="126" spans="1:8">
      <c r="A126" s="319">
        <v>6</v>
      </c>
      <c r="B126" s="319" t="s">
        <v>3962</v>
      </c>
      <c r="C126" s="777" t="s">
        <v>2704</v>
      </c>
      <c r="D126" s="771"/>
      <c r="E126" s="771" t="str">
        <f>+B125</f>
        <v>AAA680</v>
      </c>
      <c r="F126" s="334"/>
      <c r="G126" s="334"/>
    </row>
    <row r="127" spans="1:8">
      <c r="A127" s="319" t="s">
        <v>1969</v>
      </c>
      <c r="B127" s="319" t="s">
        <v>3963</v>
      </c>
      <c r="C127" s="320" t="s">
        <v>3517</v>
      </c>
      <c r="D127" s="771"/>
      <c r="E127" s="771" t="str">
        <f>+E126</f>
        <v>AAA680</v>
      </c>
      <c r="F127" s="334"/>
      <c r="G127" s="334"/>
      <c r="H127" t="s">
        <v>3907</v>
      </c>
    </row>
    <row r="128" spans="1:8">
      <c r="A128" s="767" t="s">
        <v>1967</v>
      </c>
      <c r="B128" s="317" t="s">
        <v>2983</v>
      </c>
      <c r="C128" s="317" t="s">
        <v>2984</v>
      </c>
      <c r="D128" s="328"/>
      <c r="E128" s="328"/>
      <c r="F128" s="333"/>
      <c r="G128" s="333"/>
    </row>
    <row r="129" spans="1:8">
      <c r="A129" s="319">
        <v>6</v>
      </c>
      <c r="B129" s="319" t="s">
        <v>3964</v>
      </c>
      <c r="C129" s="320" t="s">
        <v>3518</v>
      </c>
      <c r="D129" s="771"/>
      <c r="E129" s="771" t="str">
        <f>+B128</f>
        <v>AAA690</v>
      </c>
      <c r="F129" s="334"/>
      <c r="G129" s="334"/>
    </row>
    <row r="130" spans="1:8">
      <c r="A130" s="319">
        <v>6</v>
      </c>
      <c r="B130" s="319" t="s">
        <v>3965</v>
      </c>
      <c r="C130" s="320" t="s">
        <v>3519</v>
      </c>
      <c r="D130" s="771"/>
      <c r="E130" s="771" t="str">
        <f>+E129</f>
        <v>AAA690</v>
      </c>
      <c r="F130" s="334"/>
      <c r="G130" s="334"/>
    </row>
    <row r="131" spans="1:8">
      <c r="A131" s="319">
        <v>6</v>
      </c>
      <c r="B131" s="319" t="s">
        <v>3966</v>
      </c>
      <c r="C131" s="320" t="s">
        <v>3520</v>
      </c>
      <c r="D131" s="771"/>
      <c r="E131" s="771" t="str">
        <f>+E130</f>
        <v>AAA690</v>
      </c>
      <c r="F131" s="334"/>
      <c r="G131" s="334"/>
    </row>
    <row r="132" spans="1:8">
      <c r="A132" s="319" t="s">
        <v>1969</v>
      </c>
      <c r="B132" s="319" t="s">
        <v>3967</v>
      </c>
      <c r="C132" s="320" t="s">
        <v>3521</v>
      </c>
      <c r="D132" s="771"/>
      <c r="E132" s="771" t="str">
        <f>+E131</f>
        <v>AAA690</v>
      </c>
      <c r="F132" s="334"/>
      <c r="G132" s="334"/>
      <c r="H132" t="s">
        <v>3907</v>
      </c>
    </row>
    <row r="133" spans="1:8">
      <c r="A133" s="767" t="s">
        <v>1965</v>
      </c>
      <c r="B133" s="317" t="s">
        <v>2985</v>
      </c>
      <c r="C133" s="317" t="s">
        <v>2986</v>
      </c>
      <c r="D133" s="328"/>
      <c r="E133" s="328"/>
      <c r="F133" s="333"/>
      <c r="G133" s="333"/>
    </row>
    <row r="134" spans="1:8">
      <c r="A134" s="767" t="s">
        <v>1967</v>
      </c>
      <c r="B134" s="317" t="s">
        <v>2987</v>
      </c>
      <c r="C134" s="317" t="s">
        <v>2988</v>
      </c>
      <c r="D134" s="328"/>
      <c r="E134" s="328"/>
      <c r="F134" s="333"/>
      <c r="G134" s="333"/>
    </row>
    <row r="135" spans="1:8">
      <c r="A135" s="319" t="s">
        <v>1969</v>
      </c>
      <c r="B135" s="319" t="s">
        <v>3968</v>
      </c>
      <c r="C135" s="320" t="s">
        <v>2708</v>
      </c>
      <c r="D135" s="771"/>
      <c r="E135" s="771" t="str">
        <f>+B134</f>
        <v>AAA710</v>
      </c>
      <c r="F135" s="334"/>
      <c r="G135" s="334"/>
    </row>
    <row r="136" spans="1:8">
      <c r="A136" s="767" t="s">
        <v>1967</v>
      </c>
      <c r="B136" s="317" t="s">
        <v>2989</v>
      </c>
      <c r="C136" s="317" t="s">
        <v>2990</v>
      </c>
      <c r="D136" s="328"/>
      <c r="E136" s="328"/>
      <c r="F136" s="333"/>
      <c r="G136" s="333"/>
    </row>
    <row r="137" spans="1:8">
      <c r="A137" s="767" t="s">
        <v>1969</v>
      </c>
      <c r="B137" s="317" t="s">
        <v>2991</v>
      </c>
      <c r="C137" s="317" t="s">
        <v>2992</v>
      </c>
      <c r="D137" s="328"/>
      <c r="E137" s="328"/>
      <c r="F137" s="333"/>
      <c r="G137" s="333"/>
    </row>
    <row r="138" spans="1:8">
      <c r="A138" s="319" t="s">
        <v>1970</v>
      </c>
      <c r="B138" s="319" t="s">
        <v>3969</v>
      </c>
      <c r="C138" s="320" t="s">
        <v>3522</v>
      </c>
      <c r="D138" s="771"/>
      <c r="E138" s="771" t="str">
        <f>+B137</f>
        <v>AAA730</v>
      </c>
      <c r="F138" s="334"/>
      <c r="G138" s="334"/>
    </row>
    <row r="139" spans="1:8">
      <c r="A139" s="767" t="s">
        <v>1969</v>
      </c>
      <c r="B139" s="317" t="s">
        <v>2993</v>
      </c>
      <c r="C139" s="317" t="s">
        <v>2994</v>
      </c>
      <c r="D139" s="328"/>
      <c r="E139" s="328"/>
      <c r="F139" s="333"/>
      <c r="G139" s="333"/>
    </row>
    <row r="140" spans="1:8">
      <c r="A140" s="319" t="s">
        <v>1970</v>
      </c>
      <c r="B140" s="319" t="s">
        <v>3970</v>
      </c>
      <c r="C140" s="320" t="s">
        <v>3523</v>
      </c>
      <c r="D140" s="771"/>
      <c r="E140" s="771" t="str">
        <f>+B139</f>
        <v>AAA740</v>
      </c>
      <c r="F140" s="334"/>
      <c r="G140" s="334"/>
    </row>
    <row r="141" spans="1:8">
      <c r="A141" s="767" t="s">
        <v>1969</v>
      </c>
      <c r="B141" s="317" t="s">
        <v>2995</v>
      </c>
      <c r="C141" s="317" t="s">
        <v>2996</v>
      </c>
      <c r="D141" s="328"/>
      <c r="E141" s="328"/>
      <c r="F141" s="333"/>
      <c r="G141" s="333"/>
    </row>
    <row r="142" spans="1:8">
      <c r="A142" s="319" t="s">
        <v>1970</v>
      </c>
      <c r="B142" s="319" t="s">
        <v>3971</v>
      </c>
      <c r="C142" s="320" t="s">
        <v>3524</v>
      </c>
      <c r="D142" s="771"/>
      <c r="E142" s="771" t="str">
        <f>+B141</f>
        <v>AAA750</v>
      </c>
      <c r="F142" s="334"/>
      <c r="G142" s="334"/>
    </row>
    <row r="143" spans="1:8">
      <c r="A143" s="767" t="s">
        <v>1969</v>
      </c>
      <c r="B143" s="317" t="s">
        <v>2997</v>
      </c>
      <c r="C143" s="317" t="s">
        <v>2998</v>
      </c>
      <c r="D143" s="328"/>
      <c r="E143" s="328"/>
      <c r="F143" s="333"/>
      <c r="G143" s="333"/>
    </row>
    <row r="144" spans="1:8">
      <c r="A144" s="319" t="s">
        <v>1970</v>
      </c>
      <c r="B144" s="319" t="s">
        <v>3972</v>
      </c>
      <c r="C144" s="320" t="s">
        <v>3525</v>
      </c>
      <c r="D144" s="771"/>
      <c r="E144" s="771" t="str">
        <f>+B143</f>
        <v>AAA760</v>
      </c>
      <c r="F144" s="334"/>
      <c r="G144" s="334"/>
    </row>
    <row r="145" spans="1:7">
      <c r="A145" s="767" t="s">
        <v>1960</v>
      </c>
      <c r="B145" s="317" t="s">
        <v>2999</v>
      </c>
      <c r="C145" s="317" t="s">
        <v>3000</v>
      </c>
      <c r="D145" s="328"/>
      <c r="E145" s="328"/>
      <c r="F145" s="333"/>
      <c r="G145" s="333"/>
    </row>
    <row r="146" spans="1:7">
      <c r="A146" s="767" t="s">
        <v>1963</v>
      </c>
      <c r="B146" s="317" t="s">
        <v>3001</v>
      </c>
      <c r="C146" s="317" t="s">
        <v>3002</v>
      </c>
      <c r="D146" s="328"/>
      <c r="E146" s="328"/>
      <c r="F146" s="333"/>
      <c r="G146" s="333"/>
    </row>
    <row r="147" spans="1:7">
      <c r="A147" s="767" t="s">
        <v>1965</v>
      </c>
      <c r="B147" s="317" t="s">
        <v>3003</v>
      </c>
      <c r="C147" s="317" t="s">
        <v>3004</v>
      </c>
      <c r="D147" s="328"/>
      <c r="E147" s="328"/>
      <c r="F147" s="333"/>
      <c r="G147" s="333"/>
    </row>
    <row r="148" spans="1:7">
      <c r="A148" s="767" t="s">
        <v>1967</v>
      </c>
      <c r="B148" s="317" t="s">
        <v>3005</v>
      </c>
      <c r="C148" s="317" t="s">
        <v>3006</v>
      </c>
      <c r="D148" s="328"/>
      <c r="E148" s="328"/>
      <c r="F148" s="333"/>
      <c r="G148" s="333"/>
    </row>
    <row r="149" spans="1:7" ht="24">
      <c r="A149" s="319">
        <v>6</v>
      </c>
      <c r="B149" s="319" t="s">
        <v>3973</v>
      </c>
      <c r="C149" s="320" t="s">
        <v>3974</v>
      </c>
      <c r="D149" s="771"/>
      <c r="E149" s="771" t="str">
        <f>+B148</f>
        <v>ABA020</v>
      </c>
      <c r="F149" s="334">
        <v>47919944.950000003</v>
      </c>
      <c r="G149" s="334">
        <v>47903278.899999999</v>
      </c>
    </row>
    <row r="150" spans="1:7">
      <c r="A150" s="319">
        <v>6</v>
      </c>
      <c r="B150" s="319" t="s">
        <v>3975</v>
      </c>
      <c r="C150" s="320" t="s">
        <v>3976</v>
      </c>
      <c r="D150" s="771"/>
      <c r="E150" s="771" t="str">
        <f>+E149</f>
        <v>ABA020</v>
      </c>
      <c r="F150" s="334">
        <v>1126669.8</v>
      </c>
      <c r="G150" s="334">
        <v>1042651.2</v>
      </c>
    </row>
    <row r="151" spans="1:7">
      <c r="A151" s="319">
        <v>6</v>
      </c>
      <c r="B151" s="319" t="s">
        <v>3977</v>
      </c>
      <c r="C151" s="320" t="s">
        <v>3978</v>
      </c>
      <c r="D151" s="771"/>
      <c r="E151" s="771" t="str">
        <f>+E150</f>
        <v>ABA020</v>
      </c>
      <c r="F151" s="334"/>
      <c r="G151" s="334"/>
    </row>
    <row r="152" spans="1:7">
      <c r="A152" s="767" t="s">
        <v>1967</v>
      </c>
      <c r="B152" s="317" t="s">
        <v>3007</v>
      </c>
      <c r="C152" s="317" t="s">
        <v>3008</v>
      </c>
      <c r="D152" s="328"/>
      <c r="E152" s="328"/>
      <c r="F152" s="333"/>
      <c r="G152" s="333"/>
    </row>
    <row r="153" spans="1:7">
      <c r="A153" s="319" t="s">
        <v>1969</v>
      </c>
      <c r="B153" s="319" t="s">
        <v>3979</v>
      </c>
      <c r="C153" s="320" t="s">
        <v>3980</v>
      </c>
      <c r="D153" s="771"/>
      <c r="E153" s="771" t="str">
        <f>+B152</f>
        <v>ABA030</v>
      </c>
      <c r="F153" s="334"/>
      <c r="G153" s="334"/>
    </row>
    <row r="154" spans="1:7">
      <c r="A154" s="767" t="s">
        <v>1967</v>
      </c>
      <c r="B154" s="317" t="s">
        <v>3009</v>
      </c>
      <c r="C154" s="317" t="s">
        <v>3010</v>
      </c>
      <c r="D154" s="328"/>
      <c r="E154" s="328"/>
      <c r="F154" s="333"/>
      <c r="G154" s="333"/>
    </row>
    <row r="155" spans="1:7">
      <c r="A155" s="319">
        <v>6</v>
      </c>
      <c r="B155" s="319" t="s">
        <v>3981</v>
      </c>
      <c r="C155" s="320" t="s">
        <v>3982</v>
      </c>
      <c r="D155" s="771"/>
      <c r="E155" s="771" t="str">
        <f>+B154</f>
        <v>ABA040</v>
      </c>
      <c r="F155" s="334">
        <v>12008029.66</v>
      </c>
      <c r="G155" s="334">
        <v>11971157.02</v>
      </c>
    </row>
    <row r="156" spans="1:7">
      <c r="A156" s="319">
        <v>6</v>
      </c>
      <c r="B156" s="319" t="s">
        <v>3983</v>
      </c>
      <c r="C156" s="320" t="s">
        <v>3984</v>
      </c>
      <c r="D156" s="771"/>
      <c r="E156" s="771" t="str">
        <f>+E155</f>
        <v>ABA040</v>
      </c>
      <c r="F156" s="334">
        <v>5518</v>
      </c>
      <c r="G156" s="334">
        <v>1078264.7</v>
      </c>
    </row>
    <row r="157" spans="1:7">
      <c r="A157" s="319">
        <v>6</v>
      </c>
      <c r="B157" s="319" t="s">
        <v>3985</v>
      </c>
      <c r="C157" s="320" t="s">
        <v>3986</v>
      </c>
      <c r="D157" s="771"/>
      <c r="E157" s="771" t="str">
        <f>+E156</f>
        <v>ABA040</v>
      </c>
      <c r="F157" s="334">
        <v>429148.8</v>
      </c>
      <c r="G157" s="334">
        <v>521881.38</v>
      </c>
    </row>
    <row r="158" spans="1:7">
      <c r="A158" s="767" t="s">
        <v>1967</v>
      </c>
      <c r="B158" s="317" t="s">
        <v>3011</v>
      </c>
      <c r="C158" s="317" t="s">
        <v>3012</v>
      </c>
      <c r="D158" s="328"/>
      <c r="E158" s="328"/>
      <c r="F158" s="333"/>
      <c r="G158" s="333"/>
    </row>
    <row r="159" spans="1:7">
      <c r="A159" s="319" t="s">
        <v>1969</v>
      </c>
      <c r="B159" s="319" t="s">
        <v>3987</v>
      </c>
      <c r="C159" s="320" t="s">
        <v>3988</v>
      </c>
      <c r="D159" s="771"/>
      <c r="E159" s="771" t="str">
        <f>+B158</f>
        <v>ABA050</v>
      </c>
      <c r="F159" s="334">
        <v>482515.58</v>
      </c>
      <c r="G159" s="334">
        <v>457565.91</v>
      </c>
    </row>
    <row r="160" spans="1:7">
      <c r="A160" s="767" t="s">
        <v>1967</v>
      </c>
      <c r="B160" s="317" t="s">
        <v>3013</v>
      </c>
      <c r="C160" s="317" t="s">
        <v>3014</v>
      </c>
      <c r="D160" s="328"/>
      <c r="E160" s="328"/>
      <c r="F160" s="333"/>
      <c r="G160" s="333"/>
    </row>
    <row r="161" spans="1:7">
      <c r="A161" s="319" t="s">
        <v>1969</v>
      </c>
      <c r="B161" s="319" t="s">
        <v>3989</v>
      </c>
      <c r="C161" s="320" t="s">
        <v>3990</v>
      </c>
      <c r="D161" s="771"/>
      <c r="E161" s="771" t="str">
        <f>+B160</f>
        <v>ABA060</v>
      </c>
      <c r="F161" s="334">
        <v>2595352.33</v>
      </c>
      <c r="G161" s="334">
        <v>1411280.69</v>
      </c>
    </row>
    <row r="162" spans="1:7">
      <c r="A162" s="767" t="s">
        <v>1967</v>
      </c>
      <c r="B162" s="317" t="s">
        <v>3015</v>
      </c>
      <c r="C162" s="317" t="s">
        <v>3016</v>
      </c>
      <c r="D162" s="328"/>
      <c r="E162" s="328"/>
      <c r="F162" s="333"/>
      <c r="G162" s="333"/>
    </row>
    <row r="163" spans="1:7">
      <c r="A163" s="319" t="s">
        <v>1969</v>
      </c>
      <c r="B163" s="319" t="s">
        <v>3991</v>
      </c>
      <c r="C163" s="320" t="s">
        <v>3992</v>
      </c>
      <c r="D163" s="771"/>
      <c r="E163" s="771" t="str">
        <f>+B162</f>
        <v>ABA070</v>
      </c>
      <c r="F163" s="334">
        <v>5133.5600000000004</v>
      </c>
      <c r="G163" s="334">
        <v>10347.68</v>
      </c>
    </row>
    <row r="164" spans="1:7">
      <c r="A164" s="767" t="s">
        <v>1967</v>
      </c>
      <c r="B164" s="317" t="s">
        <v>3017</v>
      </c>
      <c r="C164" s="317" t="s">
        <v>3018</v>
      </c>
      <c r="D164" s="328"/>
      <c r="E164" s="328"/>
      <c r="F164" s="333"/>
      <c r="G164" s="333"/>
    </row>
    <row r="165" spans="1:7">
      <c r="A165" s="319" t="s">
        <v>1969</v>
      </c>
      <c r="B165" s="319" t="s">
        <v>3993</v>
      </c>
      <c r="C165" s="320" t="s">
        <v>3994</v>
      </c>
      <c r="D165" s="771"/>
      <c r="E165" s="771" t="str">
        <f>+B164</f>
        <v>ABA080</v>
      </c>
      <c r="F165" s="334">
        <v>31895.25</v>
      </c>
      <c r="G165" s="334">
        <v>35986.22</v>
      </c>
    </row>
    <row r="166" spans="1:7">
      <c r="A166" s="767" t="s">
        <v>1967</v>
      </c>
      <c r="B166" s="317" t="s">
        <v>3019</v>
      </c>
      <c r="C166" s="317" t="s">
        <v>3020</v>
      </c>
      <c r="D166" s="328"/>
      <c r="E166" s="328"/>
      <c r="F166" s="333"/>
      <c r="G166" s="333"/>
    </row>
    <row r="167" spans="1:7">
      <c r="A167" s="319" t="s">
        <v>1969</v>
      </c>
      <c r="B167" s="319" t="s">
        <v>3995</v>
      </c>
      <c r="C167" s="320" t="s">
        <v>3996</v>
      </c>
      <c r="D167" s="771"/>
      <c r="E167" s="771" t="str">
        <f>+B166</f>
        <v>ABA090</v>
      </c>
      <c r="F167" s="334">
        <v>176821.74</v>
      </c>
      <c r="G167" s="334">
        <v>162894.51999999999</v>
      </c>
    </row>
    <row r="168" spans="1:7">
      <c r="A168" s="767" t="s">
        <v>1967</v>
      </c>
      <c r="B168" s="317" t="s">
        <v>3021</v>
      </c>
      <c r="C168" s="317" t="s">
        <v>3022</v>
      </c>
      <c r="D168" s="328"/>
      <c r="E168" s="328"/>
      <c r="F168" s="333"/>
      <c r="G168" s="333"/>
    </row>
    <row r="169" spans="1:7">
      <c r="A169" s="319" t="s">
        <v>1969</v>
      </c>
      <c r="B169" s="319" t="s">
        <v>3997</v>
      </c>
      <c r="C169" s="320" t="s">
        <v>3526</v>
      </c>
      <c r="D169" s="771"/>
      <c r="E169" s="771" t="str">
        <f>+B168</f>
        <v>ABA100</v>
      </c>
      <c r="F169" s="334"/>
      <c r="G169" s="334"/>
    </row>
    <row r="170" spans="1:7">
      <c r="A170" s="767" t="s">
        <v>1965</v>
      </c>
      <c r="B170" s="317" t="s">
        <v>3023</v>
      </c>
      <c r="C170" s="317" t="s">
        <v>3024</v>
      </c>
      <c r="D170" s="328"/>
      <c r="E170" s="328"/>
      <c r="F170" s="333"/>
      <c r="G170" s="333"/>
    </row>
    <row r="171" spans="1:7">
      <c r="A171" s="767" t="s">
        <v>1967</v>
      </c>
      <c r="B171" s="317" t="s">
        <v>3025</v>
      </c>
      <c r="C171" s="317" t="s">
        <v>3026</v>
      </c>
      <c r="D171" s="328"/>
      <c r="E171" s="328"/>
      <c r="F171" s="333"/>
      <c r="G171" s="333"/>
    </row>
    <row r="172" spans="1:7">
      <c r="A172" s="319" t="s">
        <v>1969</v>
      </c>
      <c r="B172" s="319" t="s">
        <v>3998</v>
      </c>
      <c r="C172" s="320" t="s">
        <v>3999</v>
      </c>
      <c r="D172" s="771"/>
      <c r="E172" s="771" t="str">
        <f>+B171</f>
        <v>ABA120</v>
      </c>
      <c r="F172" s="334">
        <v>6890.17</v>
      </c>
      <c r="G172" s="334">
        <v>8699.36</v>
      </c>
    </row>
    <row r="173" spans="1:7">
      <c r="A173" s="767" t="s">
        <v>1967</v>
      </c>
      <c r="B173" s="317" t="s">
        <v>3027</v>
      </c>
      <c r="C173" s="317" t="s">
        <v>3028</v>
      </c>
      <c r="D173" s="328"/>
      <c r="E173" s="328"/>
      <c r="F173" s="333"/>
      <c r="G173" s="333"/>
    </row>
    <row r="174" spans="1:7">
      <c r="A174" s="319" t="s">
        <v>1969</v>
      </c>
      <c r="B174" s="319" t="s">
        <v>4000</v>
      </c>
      <c r="C174" s="320" t="s">
        <v>4001</v>
      </c>
      <c r="D174" s="771"/>
      <c r="E174" s="771" t="str">
        <f>+B173</f>
        <v>ABA130</v>
      </c>
      <c r="F174" s="334">
        <v>991791.42</v>
      </c>
      <c r="G174" s="334">
        <v>1153868.5</v>
      </c>
    </row>
    <row r="175" spans="1:7">
      <c r="A175" s="767" t="s">
        <v>1967</v>
      </c>
      <c r="B175" s="317" t="s">
        <v>3029</v>
      </c>
      <c r="C175" s="317" t="s">
        <v>3030</v>
      </c>
      <c r="D175" s="328"/>
      <c r="E175" s="328"/>
      <c r="F175" s="333"/>
      <c r="G175" s="333"/>
    </row>
    <row r="176" spans="1:7">
      <c r="A176" s="319" t="s">
        <v>1969</v>
      </c>
      <c r="B176" s="319" t="s">
        <v>4002</v>
      </c>
      <c r="C176" s="320" t="s">
        <v>4003</v>
      </c>
      <c r="D176" s="771"/>
      <c r="E176" s="771" t="str">
        <f>+B175</f>
        <v>ABA140</v>
      </c>
      <c r="F176" s="334"/>
      <c r="G176" s="334"/>
    </row>
    <row r="177" spans="1:8">
      <c r="A177" s="767" t="s">
        <v>1967</v>
      </c>
      <c r="B177" s="317" t="s">
        <v>3031</v>
      </c>
      <c r="C177" s="317" t="s">
        <v>3032</v>
      </c>
      <c r="D177" s="328"/>
      <c r="E177" s="328"/>
      <c r="F177" s="333"/>
      <c r="G177" s="333"/>
    </row>
    <row r="178" spans="1:8">
      <c r="A178" s="319" t="s">
        <v>1969</v>
      </c>
      <c r="B178" s="319" t="s">
        <v>4004</v>
      </c>
      <c r="C178" s="320" t="s">
        <v>4005</v>
      </c>
      <c r="D178" s="771"/>
      <c r="E178" s="771" t="str">
        <f>+B177</f>
        <v>ABA150</v>
      </c>
      <c r="F178" s="334">
        <v>190906.28</v>
      </c>
      <c r="G178" s="334">
        <v>185827.26</v>
      </c>
    </row>
    <row r="179" spans="1:8">
      <c r="A179" s="767" t="s">
        <v>1967</v>
      </c>
      <c r="B179" s="317" t="s">
        <v>3033</v>
      </c>
      <c r="C179" s="317" t="s">
        <v>3034</v>
      </c>
      <c r="D179" s="328"/>
      <c r="E179" s="328"/>
      <c r="F179" s="333"/>
      <c r="G179" s="333"/>
    </row>
    <row r="180" spans="1:8">
      <c r="A180" s="319" t="s">
        <v>1969</v>
      </c>
      <c r="B180" s="319" t="s">
        <v>4006</v>
      </c>
      <c r="C180" s="320" t="s">
        <v>4007</v>
      </c>
      <c r="D180" s="771"/>
      <c r="E180" s="771" t="str">
        <f>+B179</f>
        <v>ABA160</v>
      </c>
      <c r="F180" s="334">
        <v>1413.72</v>
      </c>
      <c r="G180" s="334">
        <v>16591.13</v>
      </c>
    </row>
    <row r="181" spans="1:8">
      <c r="A181" s="767" t="s">
        <v>1967</v>
      </c>
      <c r="B181" s="317" t="s">
        <v>3035</v>
      </c>
      <c r="C181" s="317" t="s">
        <v>3036</v>
      </c>
      <c r="D181" s="328"/>
      <c r="E181" s="328"/>
      <c r="F181" s="333"/>
      <c r="G181" s="333"/>
    </row>
    <row r="182" spans="1:8">
      <c r="A182" s="319" t="s">
        <v>1969</v>
      </c>
      <c r="B182" s="319" t="s">
        <v>4008</v>
      </c>
      <c r="C182" s="320" t="s">
        <v>4009</v>
      </c>
      <c r="D182" s="771"/>
      <c r="E182" s="771" t="str">
        <f>+B181</f>
        <v>ABA170</v>
      </c>
      <c r="F182" s="334">
        <v>7116.34</v>
      </c>
      <c r="G182" s="334">
        <v>6216.62</v>
      </c>
    </row>
    <row r="183" spans="1:8">
      <c r="A183" s="767" t="s">
        <v>1970</v>
      </c>
      <c r="B183" s="317" t="s">
        <v>3037</v>
      </c>
      <c r="C183" s="317" t="s">
        <v>3038</v>
      </c>
      <c r="D183" s="328"/>
      <c r="E183" s="328"/>
      <c r="F183" s="333"/>
      <c r="G183" s="333"/>
    </row>
    <row r="184" spans="1:8">
      <c r="A184" s="319" t="s">
        <v>1970</v>
      </c>
      <c r="B184" s="319" t="s">
        <v>4010</v>
      </c>
      <c r="C184" s="320" t="s">
        <v>3527</v>
      </c>
      <c r="D184" s="771"/>
      <c r="E184" s="771" t="str">
        <f>+B183</f>
        <v>ABA180</v>
      </c>
      <c r="F184" s="334"/>
      <c r="G184" s="334"/>
    </row>
    <row r="185" spans="1:8">
      <c r="A185" s="767" t="s">
        <v>1963</v>
      </c>
      <c r="B185" s="317" t="s">
        <v>3039</v>
      </c>
      <c r="C185" s="317" t="s">
        <v>4011</v>
      </c>
      <c r="D185" s="328"/>
      <c r="E185" s="328"/>
      <c r="F185" s="333"/>
      <c r="G185" s="333"/>
    </row>
    <row r="186" spans="1:8">
      <c r="A186" s="767" t="s">
        <v>1965</v>
      </c>
      <c r="B186" s="317" t="s">
        <v>3041</v>
      </c>
      <c r="C186" s="317" t="s">
        <v>3042</v>
      </c>
      <c r="D186" s="328"/>
      <c r="E186" s="328"/>
      <c r="F186" s="333"/>
      <c r="G186" s="333"/>
    </row>
    <row r="187" spans="1:8">
      <c r="A187" s="767" t="s">
        <v>1967</v>
      </c>
      <c r="B187" s="317" t="s">
        <v>3043</v>
      </c>
      <c r="C187" s="317" t="s">
        <v>3044</v>
      </c>
      <c r="D187" s="328"/>
      <c r="E187" s="328"/>
      <c r="F187" s="333"/>
      <c r="G187" s="333"/>
    </row>
    <row r="188" spans="1:8">
      <c r="A188" s="319">
        <v>6</v>
      </c>
      <c r="B188" s="319" t="s">
        <v>4012</v>
      </c>
      <c r="C188" s="320" t="s">
        <v>3528</v>
      </c>
      <c r="D188" s="771"/>
      <c r="E188" s="771" t="str">
        <f>+B187</f>
        <v>ABA201</v>
      </c>
      <c r="F188" s="334"/>
      <c r="G188" s="334"/>
    </row>
    <row r="189" spans="1:8">
      <c r="A189" s="319" t="s">
        <v>1969</v>
      </c>
      <c r="B189" s="319" t="s">
        <v>4013</v>
      </c>
      <c r="C189" s="320" t="s">
        <v>3529</v>
      </c>
      <c r="D189" s="771"/>
      <c r="E189" s="771" t="str">
        <f>+E188</f>
        <v>ABA201</v>
      </c>
      <c r="F189" s="334"/>
      <c r="G189" s="334"/>
      <c r="H189" t="s">
        <v>3907</v>
      </c>
    </row>
    <row r="190" spans="1:8">
      <c r="A190" s="767" t="s">
        <v>1967</v>
      </c>
      <c r="B190" s="317" t="s">
        <v>3045</v>
      </c>
      <c r="C190" s="317" t="s">
        <v>3046</v>
      </c>
      <c r="D190" s="328"/>
      <c r="E190" s="328"/>
      <c r="F190" s="333"/>
      <c r="G190" s="333"/>
    </row>
    <row r="191" spans="1:8">
      <c r="A191" s="319">
        <v>6</v>
      </c>
      <c r="B191" s="319" t="s">
        <v>4014</v>
      </c>
      <c r="C191" s="320" t="s">
        <v>3530</v>
      </c>
      <c r="D191" s="771"/>
      <c r="E191" s="771" t="str">
        <f>+B190</f>
        <v>ABA220</v>
      </c>
      <c r="F191" s="334"/>
      <c r="G191" s="334"/>
    </row>
    <row r="192" spans="1:8">
      <c r="A192" s="319" t="s">
        <v>1969</v>
      </c>
      <c r="B192" s="319" t="s">
        <v>4015</v>
      </c>
      <c r="C192" s="320" t="s">
        <v>3531</v>
      </c>
      <c r="D192" s="771"/>
      <c r="E192" s="771" t="str">
        <f>+E191</f>
        <v>ABA220</v>
      </c>
      <c r="F192" s="334"/>
      <c r="G192" s="334"/>
      <c r="H192" t="s">
        <v>3907</v>
      </c>
    </row>
    <row r="193" spans="1:8">
      <c r="A193" s="767" t="s">
        <v>1967</v>
      </c>
      <c r="B193" s="317" t="s">
        <v>3047</v>
      </c>
      <c r="C193" s="317" t="s">
        <v>3048</v>
      </c>
      <c r="D193" s="328"/>
      <c r="E193" s="328"/>
      <c r="F193" s="333"/>
      <c r="G193" s="333"/>
    </row>
    <row r="194" spans="1:8">
      <c r="A194" s="319">
        <v>6</v>
      </c>
      <c r="B194" s="319" t="s">
        <v>4016</v>
      </c>
      <c r="C194" s="320" t="s">
        <v>3532</v>
      </c>
      <c r="D194" s="771"/>
      <c r="E194" s="771" t="str">
        <f>+B193</f>
        <v>ABA230</v>
      </c>
      <c r="F194" s="334"/>
      <c r="G194" s="334"/>
    </row>
    <row r="195" spans="1:8">
      <c r="A195" s="319" t="s">
        <v>1969</v>
      </c>
      <c r="B195" s="319" t="s">
        <v>4017</v>
      </c>
      <c r="C195" s="320" t="s">
        <v>3533</v>
      </c>
      <c r="D195" s="771"/>
      <c r="E195" s="771" t="str">
        <f>+E194</f>
        <v>ABA230</v>
      </c>
      <c r="F195" s="334"/>
      <c r="G195" s="334"/>
      <c r="H195" t="s">
        <v>3907</v>
      </c>
    </row>
    <row r="196" spans="1:8">
      <c r="A196" s="767" t="s">
        <v>1967</v>
      </c>
      <c r="B196" s="317" t="s">
        <v>3049</v>
      </c>
      <c r="C196" s="317" t="s">
        <v>3050</v>
      </c>
      <c r="D196" s="328"/>
      <c r="E196" s="328"/>
      <c r="F196" s="333"/>
      <c r="G196" s="333"/>
    </row>
    <row r="197" spans="1:8">
      <c r="A197" s="319">
        <v>6</v>
      </c>
      <c r="B197" s="319" t="s">
        <v>4018</v>
      </c>
      <c r="C197" s="320" t="s">
        <v>3534</v>
      </c>
      <c r="D197" s="771"/>
      <c r="E197" s="771" t="str">
        <f>+B196</f>
        <v>ABA240</v>
      </c>
      <c r="F197" s="334"/>
      <c r="G197" s="334"/>
    </row>
    <row r="198" spans="1:8">
      <c r="A198" s="319" t="s">
        <v>1969</v>
      </c>
      <c r="B198" s="319" t="s">
        <v>4019</v>
      </c>
      <c r="C198" s="320" t="s">
        <v>3535</v>
      </c>
      <c r="D198" s="771"/>
      <c r="E198" s="771" t="str">
        <f>+E197</f>
        <v>ABA240</v>
      </c>
      <c r="F198" s="334"/>
      <c r="G198" s="334"/>
      <c r="H198" t="s">
        <v>3907</v>
      </c>
    </row>
    <row r="199" spans="1:8" ht="25.5">
      <c r="A199" s="767" t="s">
        <v>1967</v>
      </c>
      <c r="B199" s="317" t="s">
        <v>3051</v>
      </c>
      <c r="C199" s="317" t="s">
        <v>3052</v>
      </c>
      <c r="D199" s="328"/>
      <c r="E199" s="328"/>
      <c r="F199" s="333"/>
      <c r="G199" s="333"/>
    </row>
    <row r="200" spans="1:8">
      <c r="A200" s="319">
        <v>6</v>
      </c>
      <c r="B200" s="319" t="s">
        <v>4020</v>
      </c>
      <c r="C200" s="320" t="s">
        <v>3536</v>
      </c>
      <c r="D200" s="771"/>
      <c r="E200" s="771" t="str">
        <f>+B199</f>
        <v>ABA250</v>
      </c>
      <c r="F200" s="334"/>
      <c r="G200" s="334"/>
    </row>
    <row r="201" spans="1:8" ht="24">
      <c r="A201" s="319" t="s">
        <v>1969</v>
      </c>
      <c r="B201" s="319" t="s">
        <v>4021</v>
      </c>
      <c r="C201" s="320" t="s">
        <v>3537</v>
      </c>
      <c r="D201" s="771"/>
      <c r="E201" s="771" t="str">
        <f>+E200</f>
        <v>ABA250</v>
      </c>
      <c r="F201" s="334"/>
      <c r="G201" s="334"/>
      <c r="H201" t="s">
        <v>3907</v>
      </c>
    </row>
    <row r="202" spans="1:8">
      <c r="A202" s="767" t="s">
        <v>1967</v>
      </c>
      <c r="B202" s="317" t="s">
        <v>3053</v>
      </c>
      <c r="C202" s="317" t="s">
        <v>3054</v>
      </c>
      <c r="D202" s="328"/>
      <c r="E202" s="328"/>
      <c r="F202" s="333"/>
      <c r="G202" s="333"/>
    </row>
    <row r="203" spans="1:8">
      <c r="A203" s="319">
        <v>6</v>
      </c>
      <c r="B203" s="319" t="s">
        <v>4022</v>
      </c>
      <c r="C203" s="320" t="s">
        <v>3538</v>
      </c>
      <c r="D203" s="771"/>
      <c r="E203" s="771" t="str">
        <f>+B202</f>
        <v>ABA260</v>
      </c>
      <c r="F203" s="334"/>
      <c r="G203" s="334"/>
    </row>
    <row r="204" spans="1:8" ht="24">
      <c r="A204" s="319" t="s">
        <v>1969</v>
      </c>
      <c r="B204" s="319" t="s">
        <v>4023</v>
      </c>
      <c r="C204" s="320" t="s">
        <v>3539</v>
      </c>
      <c r="D204" s="771"/>
      <c r="E204" s="771" t="str">
        <f>+E203</f>
        <v>ABA260</v>
      </c>
      <c r="F204" s="334"/>
      <c r="G204" s="334"/>
      <c r="H204" t="s">
        <v>3907</v>
      </c>
    </row>
    <row r="205" spans="1:8">
      <c r="A205" s="767" t="s">
        <v>1967</v>
      </c>
      <c r="B205" s="317" t="s">
        <v>3055</v>
      </c>
      <c r="C205" s="317" t="s">
        <v>3056</v>
      </c>
      <c r="D205" s="328"/>
      <c r="E205" s="328"/>
      <c r="F205" s="333"/>
      <c r="G205" s="333"/>
    </row>
    <row r="206" spans="1:8">
      <c r="A206" s="319">
        <v>6</v>
      </c>
      <c r="B206" s="319" t="s">
        <v>4024</v>
      </c>
      <c r="C206" s="320" t="s">
        <v>3540</v>
      </c>
      <c r="D206" s="771"/>
      <c r="E206" s="771" t="str">
        <f>+B205</f>
        <v>ABA270</v>
      </c>
      <c r="F206" s="334"/>
      <c r="G206" s="334"/>
    </row>
    <row r="207" spans="1:8">
      <c r="A207" s="319">
        <v>6</v>
      </c>
      <c r="B207" s="319" t="s">
        <v>4025</v>
      </c>
      <c r="C207" s="320" t="s">
        <v>4026</v>
      </c>
      <c r="D207" s="771"/>
      <c r="E207" s="771" t="str">
        <f>+E206</f>
        <v>ABA270</v>
      </c>
      <c r="F207" s="334"/>
      <c r="G207" s="334">
        <v>0</v>
      </c>
    </row>
    <row r="208" spans="1:8">
      <c r="A208" s="319">
        <v>6</v>
      </c>
      <c r="B208" s="319" t="s">
        <v>4027</v>
      </c>
      <c r="C208" s="320" t="s">
        <v>4028</v>
      </c>
      <c r="D208" s="771"/>
      <c r="E208" s="771" t="str">
        <f>+E207</f>
        <v>ABA270</v>
      </c>
      <c r="F208" s="334"/>
      <c r="G208" s="334"/>
    </row>
    <row r="209" spans="1:8">
      <c r="A209" s="319" t="s">
        <v>1969</v>
      </c>
      <c r="B209" s="319" t="s">
        <v>4029</v>
      </c>
      <c r="C209" s="320" t="s">
        <v>3541</v>
      </c>
      <c r="D209" s="771"/>
      <c r="E209" s="771" t="str">
        <f>+E208</f>
        <v>ABA270</v>
      </c>
      <c r="F209" s="334"/>
      <c r="G209" s="334"/>
      <c r="H209" t="s">
        <v>3907</v>
      </c>
    </row>
    <row r="210" spans="1:8">
      <c r="A210" s="767" t="s">
        <v>1967</v>
      </c>
      <c r="B210" s="317" t="s">
        <v>3057</v>
      </c>
      <c r="C210" s="317" t="s">
        <v>4030</v>
      </c>
      <c r="D210" s="328"/>
      <c r="E210" s="328"/>
      <c r="F210" s="333"/>
      <c r="G210" s="333"/>
    </row>
    <row r="211" spans="1:8">
      <c r="A211" s="319">
        <v>6</v>
      </c>
      <c r="B211" s="319" t="s">
        <v>4031</v>
      </c>
      <c r="C211" s="320" t="s">
        <v>3542</v>
      </c>
      <c r="D211" s="771"/>
      <c r="E211" s="771" t="str">
        <f>+B210</f>
        <v>ABA271</v>
      </c>
      <c r="F211" s="334"/>
      <c r="G211" s="334"/>
    </row>
    <row r="212" spans="1:8" ht="24">
      <c r="A212" s="319" t="s">
        <v>1969</v>
      </c>
      <c r="B212" s="319" t="s">
        <v>4032</v>
      </c>
      <c r="C212" s="320" t="s">
        <v>3543</v>
      </c>
      <c r="D212" s="771"/>
      <c r="E212" s="771" t="str">
        <f>+E211</f>
        <v>ABA271</v>
      </c>
      <c r="F212" s="334"/>
      <c r="G212" s="334"/>
      <c r="H212" t="s">
        <v>3907</v>
      </c>
    </row>
    <row r="213" spans="1:8">
      <c r="A213" s="767" t="s">
        <v>1967</v>
      </c>
      <c r="B213" s="317" t="s">
        <v>3059</v>
      </c>
      <c r="C213" s="317" t="s">
        <v>3060</v>
      </c>
      <c r="D213" s="328"/>
      <c r="E213" s="328"/>
      <c r="F213" s="333"/>
      <c r="G213" s="333"/>
    </row>
    <row r="214" spans="1:8">
      <c r="A214" s="319">
        <v>6</v>
      </c>
      <c r="B214" s="319" t="s">
        <v>4033</v>
      </c>
      <c r="C214" s="320" t="s">
        <v>3544</v>
      </c>
      <c r="D214" s="771"/>
      <c r="E214" s="771" t="str">
        <f>+B213</f>
        <v>ABA280</v>
      </c>
      <c r="F214" s="334"/>
      <c r="G214" s="334"/>
    </row>
    <row r="215" spans="1:8">
      <c r="A215" s="319" t="s">
        <v>1969</v>
      </c>
      <c r="B215" s="319" t="s">
        <v>4034</v>
      </c>
      <c r="C215" s="320" t="s">
        <v>3545</v>
      </c>
      <c r="D215" s="771"/>
      <c r="E215" s="771" t="str">
        <f>+E214</f>
        <v>ABA280</v>
      </c>
      <c r="F215" s="334"/>
      <c r="G215" s="334"/>
      <c r="H215" t="s">
        <v>3907</v>
      </c>
    </row>
    <row r="216" spans="1:8">
      <c r="A216" s="767" t="s">
        <v>1967</v>
      </c>
      <c r="B216" s="317" t="s">
        <v>3061</v>
      </c>
      <c r="C216" s="317" t="s">
        <v>3062</v>
      </c>
      <c r="D216" s="328"/>
      <c r="E216" s="328"/>
      <c r="F216" s="333"/>
      <c r="G216" s="333"/>
    </row>
    <row r="217" spans="1:8">
      <c r="A217" s="767" t="s">
        <v>1969</v>
      </c>
      <c r="B217" s="317" t="s">
        <v>3063</v>
      </c>
      <c r="C217" s="317" t="s">
        <v>3064</v>
      </c>
      <c r="D217" s="328"/>
      <c r="E217" s="328"/>
      <c r="F217" s="333"/>
      <c r="G217" s="333"/>
    </row>
    <row r="218" spans="1:8">
      <c r="A218" s="319">
        <v>7</v>
      </c>
      <c r="B218" s="319" t="s">
        <v>4035</v>
      </c>
      <c r="C218" s="320" t="s">
        <v>3546</v>
      </c>
      <c r="D218" s="771"/>
      <c r="E218" s="771" t="str">
        <f>+B217</f>
        <v>ABA300</v>
      </c>
      <c r="F218" s="334"/>
      <c r="G218" s="334"/>
    </row>
    <row r="219" spans="1:8" ht="24">
      <c r="A219" s="319" t="s">
        <v>1970</v>
      </c>
      <c r="B219" s="319" t="s">
        <v>4036</v>
      </c>
      <c r="C219" s="320" t="s">
        <v>3547</v>
      </c>
      <c r="D219" s="771"/>
      <c r="E219" s="771" t="str">
        <f>+E218</f>
        <v>ABA300</v>
      </c>
      <c r="F219" s="334"/>
      <c r="G219" s="334"/>
      <c r="H219" t="s">
        <v>3907</v>
      </c>
    </row>
    <row r="220" spans="1:8">
      <c r="A220" s="767" t="s">
        <v>1969</v>
      </c>
      <c r="B220" s="317" t="s">
        <v>3065</v>
      </c>
      <c r="C220" s="317" t="s">
        <v>3066</v>
      </c>
      <c r="D220" s="328"/>
      <c r="E220" s="328"/>
      <c r="F220" s="333"/>
      <c r="G220" s="333"/>
    </row>
    <row r="221" spans="1:8">
      <c r="A221" s="319">
        <v>7</v>
      </c>
      <c r="B221" s="319" t="s">
        <v>4037</v>
      </c>
      <c r="C221" s="320" t="s">
        <v>3548</v>
      </c>
      <c r="D221" s="771"/>
      <c r="E221" s="771" t="str">
        <f>+B220</f>
        <v>ABA310</v>
      </c>
      <c r="F221" s="334"/>
      <c r="G221" s="334"/>
    </row>
    <row r="222" spans="1:8" ht="24">
      <c r="A222" s="319" t="s">
        <v>1970</v>
      </c>
      <c r="B222" s="319" t="s">
        <v>4038</v>
      </c>
      <c r="C222" s="320" t="s">
        <v>3549</v>
      </c>
      <c r="D222" s="771"/>
      <c r="E222" s="771" t="str">
        <f>+E221</f>
        <v>ABA310</v>
      </c>
      <c r="F222" s="334"/>
      <c r="G222" s="334"/>
      <c r="H222" t="s">
        <v>3907</v>
      </c>
    </row>
    <row r="223" spans="1:8">
      <c r="A223" s="767" t="s">
        <v>1969</v>
      </c>
      <c r="B223" s="317" t="s">
        <v>3067</v>
      </c>
      <c r="C223" s="317" t="s">
        <v>4039</v>
      </c>
      <c r="D223" s="328"/>
      <c r="E223" s="328"/>
      <c r="F223" s="333"/>
      <c r="G223" s="333"/>
    </row>
    <row r="224" spans="1:8">
      <c r="A224" s="319">
        <v>7</v>
      </c>
      <c r="B224" s="319" t="s">
        <v>4040</v>
      </c>
      <c r="C224" s="320" t="s">
        <v>3550</v>
      </c>
      <c r="D224" s="771"/>
      <c r="E224" s="771" t="str">
        <f>+B223</f>
        <v>ABA320</v>
      </c>
      <c r="F224" s="334"/>
      <c r="G224" s="334"/>
    </row>
    <row r="225" spans="1:8">
      <c r="A225" s="319">
        <v>7</v>
      </c>
      <c r="B225" s="319" t="s">
        <v>4041</v>
      </c>
      <c r="C225" s="320" t="s">
        <v>3551</v>
      </c>
      <c r="D225" s="771"/>
      <c r="E225" s="771" t="str">
        <f>+E224</f>
        <v>ABA320</v>
      </c>
      <c r="F225" s="334"/>
      <c r="G225" s="334"/>
    </row>
    <row r="226" spans="1:8">
      <c r="A226" s="319">
        <v>7</v>
      </c>
      <c r="B226" s="319" t="s">
        <v>4042</v>
      </c>
      <c r="C226" s="320" t="s">
        <v>4043</v>
      </c>
      <c r="D226" s="771"/>
      <c r="E226" s="771" t="str">
        <f>+E225</f>
        <v>ABA320</v>
      </c>
      <c r="F226" s="334"/>
      <c r="G226" s="334">
        <v>0</v>
      </c>
    </row>
    <row r="227" spans="1:8" ht="24">
      <c r="A227" s="319" t="s">
        <v>1970</v>
      </c>
      <c r="B227" s="319" t="s">
        <v>4044</v>
      </c>
      <c r="C227" s="320" t="s">
        <v>4045</v>
      </c>
      <c r="D227" s="771"/>
      <c r="E227" s="771" t="str">
        <f>+E226</f>
        <v>ABA320</v>
      </c>
      <c r="F227" s="334"/>
      <c r="G227" s="334"/>
      <c r="H227" t="s">
        <v>3907</v>
      </c>
    </row>
    <row r="228" spans="1:8">
      <c r="A228" s="767" t="s">
        <v>1969</v>
      </c>
      <c r="B228" s="317" t="s">
        <v>3069</v>
      </c>
      <c r="C228" s="317" t="s">
        <v>3070</v>
      </c>
      <c r="D228" s="328"/>
      <c r="E228" s="328"/>
      <c r="F228" s="333"/>
      <c r="G228" s="333"/>
    </row>
    <row r="229" spans="1:8">
      <c r="A229" s="319">
        <v>7</v>
      </c>
      <c r="B229" s="319" t="s">
        <v>4046</v>
      </c>
      <c r="C229" s="320" t="s">
        <v>3552</v>
      </c>
      <c r="D229" s="771"/>
      <c r="E229" s="771" t="str">
        <f>+B228</f>
        <v>ABA330</v>
      </c>
      <c r="F229" s="334"/>
      <c r="G229" s="334"/>
    </row>
    <row r="230" spans="1:8" ht="24">
      <c r="A230" s="319" t="s">
        <v>1970</v>
      </c>
      <c r="B230" s="319" t="s">
        <v>4047</v>
      </c>
      <c r="C230" s="320" t="s">
        <v>3553</v>
      </c>
      <c r="D230" s="771"/>
      <c r="E230" s="771" t="str">
        <f>+E229</f>
        <v>ABA330</v>
      </c>
      <c r="F230" s="334"/>
      <c r="G230" s="334"/>
      <c r="H230" t="s">
        <v>3907</v>
      </c>
    </row>
    <row r="231" spans="1:8">
      <c r="A231" s="767" t="s">
        <v>1967</v>
      </c>
      <c r="B231" s="317" t="s">
        <v>3071</v>
      </c>
      <c r="C231" s="317" t="s">
        <v>3072</v>
      </c>
      <c r="D231" s="328"/>
      <c r="E231" s="328"/>
      <c r="F231" s="333"/>
      <c r="G231" s="333"/>
    </row>
    <row r="232" spans="1:8">
      <c r="A232" s="319">
        <v>6</v>
      </c>
      <c r="B232" s="319" t="s">
        <v>4048</v>
      </c>
      <c r="C232" s="320" t="s">
        <v>3554</v>
      </c>
      <c r="D232" s="771"/>
      <c r="E232" s="771" t="str">
        <f>+B231</f>
        <v>ABA340</v>
      </c>
      <c r="F232" s="334"/>
      <c r="G232" s="334"/>
    </row>
    <row r="233" spans="1:8">
      <c r="A233" s="319">
        <v>6</v>
      </c>
      <c r="B233" s="319" t="s">
        <v>4049</v>
      </c>
      <c r="C233" s="320" t="s">
        <v>4050</v>
      </c>
      <c r="D233" s="771"/>
      <c r="E233" s="771" t="str">
        <f>+E232</f>
        <v>ABA340</v>
      </c>
      <c r="F233" s="334"/>
      <c r="G233" s="334"/>
    </row>
    <row r="234" spans="1:8">
      <c r="A234" s="319">
        <v>6</v>
      </c>
      <c r="B234" s="319" t="s">
        <v>4051</v>
      </c>
      <c r="C234" s="320" t="s">
        <v>4052</v>
      </c>
      <c r="D234" s="771"/>
      <c r="E234" s="771" t="str">
        <f>+E233</f>
        <v>ABA340</v>
      </c>
      <c r="F234" s="334"/>
      <c r="G234" s="334"/>
    </row>
    <row r="235" spans="1:8">
      <c r="A235" s="319" t="s">
        <v>1969</v>
      </c>
      <c r="B235" s="319" t="s">
        <v>4053</v>
      </c>
      <c r="C235" s="320" t="s">
        <v>3555</v>
      </c>
      <c r="D235" s="771"/>
      <c r="E235" s="771" t="str">
        <f>+E234</f>
        <v>ABA340</v>
      </c>
      <c r="F235" s="334"/>
      <c r="G235" s="334"/>
      <c r="H235" t="s">
        <v>3907</v>
      </c>
    </row>
    <row r="236" spans="1:8">
      <c r="A236" s="767" t="s">
        <v>1965</v>
      </c>
      <c r="B236" s="317" t="s">
        <v>3073</v>
      </c>
      <c r="C236" s="317" t="s">
        <v>3074</v>
      </c>
      <c r="D236" s="328"/>
      <c r="E236" s="328"/>
      <c r="F236" s="333"/>
      <c r="G236" s="333"/>
    </row>
    <row r="237" spans="1:8">
      <c r="A237" s="767" t="s">
        <v>1967</v>
      </c>
      <c r="B237" s="317" t="s">
        <v>3075</v>
      </c>
      <c r="C237" s="317" t="s">
        <v>3076</v>
      </c>
      <c r="D237" s="328"/>
      <c r="E237" s="328"/>
      <c r="F237" s="333"/>
      <c r="G237" s="333"/>
    </row>
    <row r="238" spans="1:8">
      <c r="A238" s="767" t="s">
        <v>1969</v>
      </c>
      <c r="B238" s="317" t="s">
        <v>3078</v>
      </c>
      <c r="C238" s="317" t="s">
        <v>3079</v>
      </c>
      <c r="D238" s="328"/>
      <c r="E238" s="328"/>
      <c r="F238" s="333"/>
      <c r="G238" s="333"/>
    </row>
    <row r="239" spans="1:8">
      <c r="A239" s="319">
        <v>7</v>
      </c>
      <c r="B239" s="319" t="s">
        <v>4054</v>
      </c>
      <c r="C239" s="320" t="s">
        <v>3556</v>
      </c>
      <c r="D239" s="771"/>
      <c r="E239" s="771" t="str">
        <f>+B238</f>
        <v>ABA390</v>
      </c>
      <c r="F239" s="334"/>
      <c r="G239" s="334">
        <v>0</v>
      </c>
    </row>
    <row r="240" spans="1:8">
      <c r="A240" s="319" t="s">
        <v>1970</v>
      </c>
      <c r="B240" s="319" t="s">
        <v>4055</v>
      </c>
      <c r="C240" s="320" t="s">
        <v>3557</v>
      </c>
      <c r="D240" s="771"/>
      <c r="E240" s="771" t="str">
        <f>+E239</f>
        <v>ABA390</v>
      </c>
      <c r="F240" s="334"/>
      <c r="G240" s="334"/>
      <c r="H240" t="s">
        <v>3907</v>
      </c>
    </row>
    <row r="241" spans="1:8" ht="25.5">
      <c r="A241" s="767" t="s">
        <v>1969</v>
      </c>
      <c r="B241" s="317" t="s">
        <v>3080</v>
      </c>
      <c r="C241" s="317" t="s">
        <v>3081</v>
      </c>
      <c r="D241" s="328" t="s">
        <v>1248</v>
      </c>
      <c r="E241" s="328"/>
      <c r="F241" s="333"/>
      <c r="G241" s="333"/>
    </row>
    <row r="242" spans="1:8">
      <c r="A242" s="319">
        <v>7</v>
      </c>
      <c r="B242" s="319" t="s">
        <v>4056</v>
      </c>
      <c r="C242" s="320" t="s">
        <v>3558</v>
      </c>
      <c r="D242" s="771" t="s">
        <v>1248</v>
      </c>
      <c r="E242" s="771" t="str">
        <f>+B241</f>
        <v>ABA400</v>
      </c>
      <c r="F242" s="334"/>
      <c r="G242" s="334"/>
    </row>
    <row r="243" spans="1:8" ht="24">
      <c r="A243" s="319" t="s">
        <v>1970</v>
      </c>
      <c r="B243" s="319" t="s">
        <v>4057</v>
      </c>
      <c r="C243" s="320" t="s">
        <v>3559</v>
      </c>
      <c r="D243" s="771" t="s">
        <v>1248</v>
      </c>
      <c r="E243" s="771" t="str">
        <f>+E242</f>
        <v>ABA400</v>
      </c>
      <c r="F243" s="334"/>
      <c r="G243" s="334"/>
      <c r="H243" t="s">
        <v>3907</v>
      </c>
    </row>
    <row r="244" spans="1:8" ht="25.5">
      <c r="A244" s="767" t="s">
        <v>1969</v>
      </c>
      <c r="B244" s="317" t="s">
        <v>3082</v>
      </c>
      <c r="C244" s="317" t="s">
        <v>3083</v>
      </c>
      <c r="D244" s="328"/>
      <c r="E244" s="328"/>
      <c r="F244" s="333"/>
      <c r="G244" s="333"/>
    </row>
    <row r="245" spans="1:8">
      <c r="A245" s="319">
        <v>7</v>
      </c>
      <c r="B245" s="319" t="s">
        <v>4058</v>
      </c>
      <c r="C245" s="320" t="s">
        <v>3560</v>
      </c>
      <c r="D245" s="771"/>
      <c r="E245" s="771" t="str">
        <f>+B244</f>
        <v>ABA410</v>
      </c>
      <c r="F245" s="334"/>
      <c r="G245" s="334"/>
    </row>
    <row r="246" spans="1:8" ht="24">
      <c r="A246" s="319">
        <v>7</v>
      </c>
      <c r="B246" s="319" t="s">
        <v>4059</v>
      </c>
      <c r="C246" s="320" t="s">
        <v>3561</v>
      </c>
      <c r="D246" s="771"/>
      <c r="E246" s="771" t="str">
        <f>+E245</f>
        <v>ABA410</v>
      </c>
      <c r="F246" s="334"/>
      <c r="G246" s="334"/>
      <c r="H246" t="s">
        <v>3907</v>
      </c>
    </row>
    <row r="247" spans="1:8" ht="25.5">
      <c r="A247" s="767" t="s">
        <v>1969</v>
      </c>
      <c r="B247" s="317" t="s">
        <v>3084</v>
      </c>
      <c r="C247" s="317" t="s">
        <v>3085</v>
      </c>
      <c r="D247" s="328"/>
      <c r="E247" s="328"/>
      <c r="F247" s="333"/>
      <c r="G247" s="333"/>
    </row>
    <row r="248" spans="1:8">
      <c r="A248" s="319">
        <v>7</v>
      </c>
      <c r="B248" s="319" t="s">
        <v>4060</v>
      </c>
      <c r="C248" s="320" t="s">
        <v>3562</v>
      </c>
      <c r="D248" s="771"/>
      <c r="E248" s="771" t="str">
        <f>+B247</f>
        <v>ABA420</v>
      </c>
      <c r="F248" s="334"/>
      <c r="G248" s="334"/>
    </row>
    <row r="249" spans="1:8" ht="24">
      <c r="A249" s="319">
        <v>7</v>
      </c>
      <c r="B249" s="319" t="s">
        <v>4061</v>
      </c>
      <c r="C249" s="320" t="s">
        <v>3563</v>
      </c>
      <c r="D249" s="771"/>
      <c r="E249" s="771" t="str">
        <f>+E248</f>
        <v>ABA420</v>
      </c>
      <c r="F249" s="334"/>
      <c r="G249" s="334"/>
      <c r="H249" t="s">
        <v>3907</v>
      </c>
    </row>
    <row r="250" spans="1:8" ht="25.5">
      <c r="A250" s="767" t="s">
        <v>1969</v>
      </c>
      <c r="B250" s="317" t="s">
        <v>3086</v>
      </c>
      <c r="C250" s="317" t="s">
        <v>4062</v>
      </c>
      <c r="D250" s="328"/>
      <c r="E250" s="328"/>
      <c r="F250" s="333"/>
      <c r="G250" s="333"/>
    </row>
    <row r="251" spans="1:8" ht="24">
      <c r="A251" s="319">
        <v>7</v>
      </c>
      <c r="B251" s="319" t="s">
        <v>4063</v>
      </c>
      <c r="C251" s="320" t="s">
        <v>3564</v>
      </c>
      <c r="D251" s="771"/>
      <c r="E251" s="771" t="str">
        <f>+B250</f>
        <v>ABA430</v>
      </c>
      <c r="F251" s="334"/>
      <c r="G251" s="334"/>
    </row>
    <row r="252" spans="1:8" ht="24">
      <c r="A252" s="319" t="s">
        <v>1970</v>
      </c>
      <c r="B252" s="319" t="s">
        <v>4064</v>
      </c>
      <c r="C252" s="320" t="s">
        <v>3565</v>
      </c>
      <c r="D252" s="771"/>
      <c r="E252" s="771" t="str">
        <f>+E251</f>
        <v>ABA430</v>
      </c>
      <c r="F252" s="334"/>
      <c r="G252" s="334"/>
      <c r="H252" t="s">
        <v>3907</v>
      </c>
    </row>
    <row r="253" spans="1:8" ht="25.5">
      <c r="A253" s="767" t="s">
        <v>1969</v>
      </c>
      <c r="B253" s="317" t="s">
        <v>3088</v>
      </c>
      <c r="C253" s="317" t="s">
        <v>4065</v>
      </c>
      <c r="D253" s="328"/>
      <c r="E253" s="328"/>
      <c r="F253" s="333"/>
      <c r="G253" s="333"/>
    </row>
    <row r="254" spans="1:8" ht="24">
      <c r="A254" s="319">
        <v>7</v>
      </c>
      <c r="B254" s="319" t="s">
        <v>4066</v>
      </c>
      <c r="C254" s="320" t="s">
        <v>3566</v>
      </c>
      <c r="D254" s="771"/>
      <c r="E254" s="771" t="str">
        <f>+B253</f>
        <v>ABA440</v>
      </c>
      <c r="F254" s="334"/>
      <c r="G254" s="334"/>
    </row>
    <row r="255" spans="1:8" ht="24">
      <c r="A255" s="319" t="s">
        <v>1970</v>
      </c>
      <c r="B255" s="319" t="s">
        <v>4067</v>
      </c>
      <c r="C255" s="320" t="s">
        <v>3567</v>
      </c>
      <c r="D255" s="771"/>
      <c r="E255" s="771" t="str">
        <f>+E254</f>
        <v>ABA440</v>
      </c>
      <c r="F255" s="334"/>
      <c r="G255" s="334"/>
      <c r="H255" t="s">
        <v>3907</v>
      </c>
    </row>
    <row r="256" spans="1:8" ht="25.5">
      <c r="A256" s="767" t="s">
        <v>1969</v>
      </c>
      <c r="B256" s="317" t="s">
        <v>3090</v>
      </c>
      <c r="C256" s="317" t="s">
        <v>3091</v>
      </c>
      <c r="D256" s="328"/>
      <c r="E256" s="328"/>
      <c r="F256" s="333"/>
      <c r="G256" s="333"/>
    </row>
    <row r="257" spans="1:8">
      <c r="A257" s="319">
        <v>7</v>
      </c>
      <c r="B257" s="319" t="s">
        <v>4068</v>
      </c>
      <c r="C257" s="320" t="s">
        <v>3568</v>
      </c>
      <c r="D257" s="771"/>
      <c r="E257" s="771" t="str">
        <f>+B256</f>
        <v>ABA450</v>
      </c>
      <c r="F257" s="334">
        <v>27196515.039999999</v>
      </c>
      <c r="G257" s="334">
        <v>2547087.2999999998</v>
      </c>
    </row>
    <row r="258" spans="1:8" ht="24">
      <c r="A258" s="319">
        <v>7</v>
      </c>
      <c r="B258" s="319" t="s">
        <v>4069</v>
      </c>
      <c r="C258" s="320" t="s">
        <v>4070</v>
      </c>
      <c r="D258" s="771"/>
      <c r="E258" s="771" t="str">
        <f>+E257</f>
        <v>ABA450</v>
      </c>
      <c r="F258" s="334"/>
      <c r="G258" s="334"/>
    </row>
    <row r="259" spans="1:8" ht="24">
      <c r="A259" s="319">
        <v>7</v>
      </c>
      <c r="B259" s="319" t="s">
        <v>4071</v>
      </c>
      <c r="C259" s="320" t="s">
        <v>4072</v>
      </c>
      <c r="D259" s="771"/>
      <c r="E259" s="771" t="str">
        <f>+E258</f>
        <v>ABA450</v>
      </c>
      <c r="F259" s="334"/>
      <c r="G259" s="334"/>
    </row>
    <row r="260" spans="1:8" ht="24">
      <c r="A260" s="319" t="s">
        <v>1970</v>
      </c>
      <c r="B260" s="319" t="s">
        <v>4073</v>
      </c>
      <c r="C260" s="320" t="s">
        <v>3569</v>
      </c>
      <c r="D260" s="771"/>
      <c r="E260" s="771" t="str">
        <f>+E259</f>
        <v>ABA450</v>
      </c>
      <c r="F260" s="334"/>
      <c r="G260" s="334"/>
      <c r="H260" t="s">
        <v>3907</v>
      </c>
    </row>
    <row r="261" spans="1:8" ht="25.5">
      <c r="A261" s="767" t="s">
        <v>1969</v>
      </c>
      <c r="B261" s="317" t="s">
        <v>3092</v>
      </c>
      <c r="C261" s="317" t="s">
        <v>4074</v>
      </c>
      <c r="D261" s="328"/>
      <c r="E261" s="328"/>
      <c r="F261" s="333"/>
      <c r="G261" s="333"/>
    </row>
    <row r="262" spans="1:8" ht="24">
      <c r="A262" s="319">
        <v>7</v>
      </c>
      <c r="B262" s="319" t="s">
        <v>4075</v>
      </c>
      <c r="C262" s="320" t="s">
        <v>3570</v>
      </c>
      <c r="D262" s="771"/>
      <c r="E262" s="771" t="str">
        <f>+B261</f>
        <v>ABA451</v>
      </c>
      <c r="F262" s="334"/>
      <c r="G262" s="334"/>
    </row>
    <row r="263" spans="1:8" ht="24">
      <c r="A263" s="319" t="s">
        <v>1970</v>
      </c>
      <c r="B263" s="319" t="s">
        <v>4076</v>
      </c>
      <c r="C263" s="320" t="s">
        <v>3571</v>
      </c>
      <c r="D263" s="771"/>
      <c r="E263" s="771" t="str">
        <f>+E262</f>
        <v>ABA451</v>
      </c>
      <c r="F263" s="334"/>
      <c r="G263" s="334"/>
      <c r="H263" t="s">
        <v>3907</v>
      </c>
    </row>
    <row r="264" spans="1:8">
      <c r="A264" s="767" t="s">
        <v>1969</v>
      </c>
      <c r="B264" s="317" t="s">
        <v>3094</v>
      </c>
      <c r="C264" s="317" t="s">
        <v>3095</v>
      </c>
      <c r="D264" s="328"/>
      <c r="E264" s="328"/>
      <c r="F264" s="333"/>
      <c r="G264" s="333"/>
    </row>
    <row r="265" spans="1:8" ht="24">
      <c r="A265" s="319">
        <v>7</v>
      </c>
      <c r="B265" s="319" t="s">
        <v>4077</v>
      </c>
      <c r="C265" s="320" t="s">
        <v>3572</v>
      </c>
      <c r="D265" s="771"/>
      <c r="E265" s="771" t="str">
        <f>+B264</f>
        <v>ABA460</v>
      </c>
      <c r="F265" s="334"/>
      <c r="G265" s="334"/>
    </row>
    <row r="266" spans="1:8" ht="24">
      <c r="A266" s="319">
        <v>7</v>
      </c>
      <c r="B266" s="319" t="s">
        <v>4078</v>
      </c>
      <c r="C266" s="320" t="s">
        <v>3573</v>
      </c>
      <c r="D266" s="771"/>
      <c r="E266" s="771" t="str">
        <f>+E265</f>
        <v>ABA460</v>
      </c>
      <c r="F266" s="334">
        <v>682690.95</v>
      </c>
      <c r="G266" s="334">
        <v>682690.95</v>
      </c>
    </row>
    <row r="267" spans="1:8">
      <c r="A267" s="319">
        <v>7</v>
      </c>
      <c r="B267" s="319" t="s">
        <v>4079</v>
      </c>
      <c r="C267" s="320" t="s">
        <v>3574</v>
      </c>
      <c r="D267" s="771"/>
      <c r="E267" s="771" t="str">
        <f>+E266</f>
        <v>ABA460</v>
      </c>
      <c r="F267" s="334"/>
      <c r="G267" s="334"/>
    </row>
    <row r="268" spans="1:8">
      <c r="A268" s="319">
        <v>7</v>
      </c>
      <c r="B268" s="319" t="s">
        <v>4080</v>
      </c>
      <c r="C268" s="320" t="s">
        <v>3575</v>
      </c>
      <c r="D268" s="771"/>
      <c r="E268" s="771" t="str">
        <f>+E267</f>
        <v>ABA460</v>
      </c>
      <c r="F268" s="334"/>
      <c r="G268" s="334"/>
    </row>
    <row r="269" spans="1:8">
      <c r="A269" s="319" t="s">
        <v>1970</v>
      </c>
      <c r="B269" s="319" t="s">
        <v>4081</v>
      </c>
      <c r="C269" s="320" t="s">
        <v>3576</v>
      </c>
      <c r="D269" s="771"/>
      <c r="E269" s="771" t="str">
        <f>+E268</f>
        <v>ABA460</v>
      </c>
      <c r="F269" s="334"/>
      <c r="G269" s="334"/>
      <c r="H269" t="s">
        <v>3907</v>
      </c>
    </row>
    <row r="270" spans="1:8" ht="25.5">
      <c r="A270" s="767" t="s">
        <v>1969</v>
      </c>
      <c r="B270" s="317" t="s">
        <v>3096</v>
      </c>
      <c r="C270" s="317" t="s">
        <v>3097</v>
      </c>
      <c r="D270" s="328"/>
      <c r="E270" s="328"/>
      <c r="F270" s="333"/>
      <c r="G270" s="333"/>
    </row>
    <row r="271" spans="1:8">
      <c r="A271" s="319">
        <v>7</v>
      </c>
      <c r="B271" s="319" t="s">
        <v>4082</v>
      </c>
      <c r="C271" s="320" t="s">
        <v>3577</v>
      </c>
      <c r="D271" s="771"/>
      <c r="E271" s="771" t="str">
        <f>+B270</f>
        <v>ABA461</v>
      </c>
      <c r="F271" s="334"/>
      <c r="G271" s="334"/>
    </row>
    <row r="272" spans="1:8" ht="24">
      <c r="A272" s="319" t="s">
        <v>1970</v>
      </c>
      <c r="B272" s="319" t="s">
        <v>4083</v>
      </c>
      <c r="C272" s="320" t="s">
        <v>3578</v>
      </c>
      <c r="D272" s="771"/>
      <c r="E272" s="771" t="str">
        <f>+E271</f>
        <v>ABA461</v>
      </c>
      <c r="F272" s="334"/>
      <c r="G272" s="334"/>
      <c r="H272" t="s">
        <v>3907</v>
      </c>
    </row>
    <row r="273" spans="1:8" ht="25.5">
      <c r="A273" s="767" t="s">
        <v>1967</v>
      </c>
      <c r="B273" s="317" t="s">
        <v>3098</v>
      </c>
      <c r="C273" s="317" t="s">
        <v>3099</v>
      </c>
      <c r="D273" s="328"/>
      <c r="E273" s="328"/>
      <c r="F273" s="333"/>
      <c r="G273" s="333"/>
    </row>
    <row r="274" spans="1:8" ht="25.5">
      <c r="A274" s="767" t="s">
        <v>1969</v>
      </c>
      <c r="B274" s="317" t="s">
        <v>3100</v>
      </c>
      <c r="C274" s="317" t="s">
        <v>3101</v>
      </c>
      <c r="D274" s="328"/>
      <c r="E274" s="328"/>
      <c r="F274" s="333"/>
      <c r="G274" s="333"/>
    </row>
    <row r="275" spans="1:8">
      <c r="A275" s="319">
        <v>7</v>
      </c>
      <c r="B275" s="319" t="s">
        <v>4084</v>
      </c>
      <c r="C275" s="320" t="s">
        <v>3579</v>
      </c>
      <c r="D275" s="771"/>
      <c r="E275" s="771" t="str">
        <f>+B274</f>
        <v>ABA480</v>
      </c>
      <c r="F275" s="334">
        <v>12793869.67</v>
      </c>
      <c r="G275" s="334">
        <v>722912.34</v>
      </c>
    </row>
    <row r="276" spans="1:8" ht="24">
      <c r="A276" s="319" t="s">
        <v>1970</v>
      </c>
      <c r="B276" s="319" t="s">
        <v>4085</v>
      </c>
      <c r="C276" s="320" t="s">
        <v>3580</v>
      </c>
      <c r="D276" s="771"/>
      <c r="E276" s="771" t="str">
        <f>+E275</f>
        <v>ABA480</v>
      </c>
      <c r="F276" s="334"/>
      <c r="G276" s="334"/>
      <c r="H276" t="s">
        <v>3907</v>
      </c>
    </row>
    <row r="277" spans="1:8" ht="25.5">
      <c r="A277" s="767" t="s">
        <v>1969</v>
      </c>
      <c r="B277" s="317" t="s">
        <v>3102</v>
      </c>
      <c r="C277" s="317" t="s">
        <v>3103</v>
      </c>
      <c r="D277" s="328"/>
      <c r="E277" s="328"/>
      <c r="F277" s="333"/>
      <c r="G277" s="333"/>
    </row>
    <row r="278" spans="1:8">
      <c r="A278" s="319">
        <v>7</v>
      </c>
      <c r="B278" s="319" t="s">
        <v>4086</v>
      </c>
      <c r="C278" s="320" t="s">
        <v>3581</v>
      </c>
      <c r="D278" s="771"/>
      <c r="E278" s="771" t="str">
        <f>+B277</f>
        <v>ABA490</v>
      </c>
      <c r="F278" s="334"/>
      <c r="G278" s="334"/>
    </row>
    <row r="279" spans="1:8" ht="24">
      <c r="A279" s="319" t="s">
        <v>1970</v>
      </c>
      <c r="B279" s="319" t="s">
        <v>4087</v>
      </c>
      <c r="C279" s="320" t="s">
        <v>3582</v>
      </c>
      <c r="D279" s="771"/>
      <c r="E279" s="771" t="str">
        <f>+E278</f>
        <v>ABA490</v>
      </c>
      <c r="F279" s="334"/>
      <c r="G279" s="334"/>
      <c r="H279" t="s">
        <v>3907</v>
      </c>
    </row>
    <row r="280" spans="1:8">
      <c r="A280" s="767" t="s">
        <v>1969</v>
      </c>
      <c r="B280" s="317" t="s">
        <v>3104</v>
      </c>
      <c r="C280" s="317" t="s">
        <v>3105</v>
      </c>
      <c r="D280" s="328"/>
      <c r="E280" s="328"/>
      <c r="F280" s="333"/>
      <c r="G280" s="333"/>
    </row>
    <row r="281" spans="1:8">
      <c r="A281" s="319">
        <v>7</v>
      </c>
      <c r="B281" s="319" t="s">
        <v>4088</v>
      </c>
      <c r="C281" s="320" t="s">
        <v>2740</v>
      </c>
      <c r="D281" s="771"/>
      <c r="E281" s="771" t="str">
        <f>+B280</f>
        <v>ABA500</v>
      </c>
      <c r="F281" s="334"/>
      <c r="G281" s="334"/>
    </row>
    <row r="282" spans="1:8" ht="24">
      <c r="A282" s="319" t="s">
        <v>1970</v>
      </c>
      <c r="B282" s="319" t="s">
        <v>4089</v>
      </c>
      <c r="C282" s="320" t="s">
        <v>3583</v>
      </c>
      <c r="D282" s="771"/>
      <c r="E282" s="771" t="str">
        <f>+E281</f>
        <v>ABA500</v>
      </c>
      <c r="F282" s="334"/>
      <c r="G282" s="334"/>
      <c r="H282" t="s">
        <v>3907</v>
      </c>
    </row>
    <row r="283" spans="1:8" ht="38.25">
      <c r="A283" s="767" t="s">
        <v>1969</v>
      </c>
      <c r="B283" s="317" t="s">
        <v>3106</v>
      </c>
      <c r="C283" s="317" t="s">
        <v>4090</v>
      </c>
      <c r="D283" s="328"/>
      <c r="E283" s="328"/>
      <c r="F283" s="333"/>
      <c r="G283" s="333"/>
    </row>
    <row r="284" spans="1:8" ht="36">
      <c r="A284" s="319" t="s">
        <v>1970</v>
      </c>
      <c r="B284" s="319" t="s">
        <v>4091</v>
      </c>
      <c r="C284" s="320" t="s">
        <v>3584</v>
      </c>
      <c r="D284" s="771"/>
      <c r="E284" s="771" t="str">
        <f>+B283</f>
        <v>ABA501</v>
      </c>
      <c r="F284" s="334"/>
      <c r="G284" s="334"/>
    </row>
    <row r="285" spans="1:8">
      <c r="A285" s="767" t="s">
        <v>1969</v>
      </c>
      <c r="B285" s="317" t="s">
        <v>3108</v>
      </c>
      <c r="C285" s="317" t="s">
        <v>3109</v>
      </c>
      <c r="D285" s="328"/>
      <c r="E285" s="328"/>
      <c r="F285" s="333"/>
      <c r="G285" s="333"/>
    </row>
    <row r="286" spans="1:8">
      <c r="A286" s="319">
        <v>7</v>
      </c>
      <c r="B286" s="319" t="s">
        <v>4092</v>
      </c>
      <c r="C286" s="320" t="s">
        <v>3585</v>
      </c>
      <c r="D286" s="771"/>
      <c r="E286" s="771" t="str">
        <f>+B285</f>
        <v>ABA510</v>
      </c>
      <c r="F286" s="334"/>
      <c r="G286" s="334"/>
    </row>
    <row r="287" spans="1:8">
      <c r="A287" s="319" t="s">
        <v>1970</v>
      </c>
      <c r="B287" s="319" t="s">
        <v>4093</v>
      </c>
      <c r="C287" s="320" t="s">
        <v>3586</v>
      </c>
      <c r="D287" s="771"/>
      <c r="E287" s="771" t="str">
        <f>+E286</f>
        <v>ABA510</v>
      </c>
      <c r="F287" s="334"/>
      <c r="G287" s="334"/>
      <c r="H287" t="s">
        <v>3907</v>
      </c>
    </row>
    <row r="288" spans="1:8" ht="25.5">
      <c r="A288" s="767" t="s">
        <v>1969</v>
      </c>
      <c r="B288" s="317" t="s">
        <v>3110</v>
      </c>
      <c r="C288" s="317" t="s">
        <v>4094</v>
      </c>
      <c r="D288" s="328"/>
      <c r="E288" s="328"/>
      <c r="F288" s="333"/>
      <c r="G288" s="333"/>
    </row>
    <row r="289" spans="1:8" ht="24">
      <c r="A289" s="319">
        <v>7</v>
      </c>
      <c r="B289" s="319" t="s">
        <v>4095</v>
      </c>
      <c r="C289" s="320" t="s">
        <v>2741</v>
      </c>
      <c r="D289" s="771"/>
      <c r="E289" s="771" t="str">
        <f>+B288</f>
        <v>ABA520</v>
      </c>
      <c r="F289" s="334"/>
      <c r="G289" s="334"/>
    </row>
    <row r="290" spans="1:8" ht="24">
      <c r="A290" s="319" t="s">
        <v>1970</v>
      </c>
      <c r="B290" s="319" t="s">
        <v>4096</v>
      </c>
      <c r="C290" s="320" t="s">
        <v>3587</v>
      </c>
      <c r="D290" s="771"/>
      <c r="E290" s="771" t="str">
        <f>+E289</f>
        <v>ABA520</v>
      </c>
      <c r="F290" s="334"/>
      <c r="G290" s="334"/>
      <c r="H290" t="s">
        <v>3907</v>
      </c>
    </row>
    <row r="291" spans="1:8">
      <c r="A291" s="767" t="s">
        <v>1967</v>
      </c>
      <c r="B291" s="317" t="s">
        <v>3112</v>
      </c>
      <c r="C291" s="317" t="s">
        <v>4097</v>
      </c>
      <c r="D291" s="328"/>
      <c r="E291" s="328"/>
      <c r="F291" s="333"/>
      <c r="G291" s="333"/>
    </row>
    <row r="292" spans="1:8">
      <c r="A292" s="319" t="s">
        <v>1969</v>
      </c>
      <c r="B292" s="319" t="s">
        <v>4098</v>
      </c>
      <c r="C292" s="320" t="s">
        <v>4099</v>
      </c>
      <c r="D292" s="771"/>
      <c r="E292" s="771" t="str">
        <f>+B291</f>
        <v>ABA521</v>
      </c>
      <c r="F292" s="334"/>
      <c r="G292" s="334"/>
    </row>
    <row r="293" spans="1:8" ht="25.5">
      <c r="A293" s="767" t="s">
        <v>1967</v>
      </c>
      <c r="B293" s="317" t="s">
        <v>3114</v>
      </c>
      <c r="C293" s="317" t="s">
        <v>4100</v>
      </c>
      <c r="D293" s="328"/>
      <c r="E293" s="328"/>
      <c r="F293" s="333"/>
      <c r="G293" s="333"/>
    </row>
    <row r="294" spans="1:8" ht="24">
      <c r="A294" s="319" t="s">
        <v>1969</v>
      </c>
      <c r="B294" s="319" t="s">
        <v>4101</v>
      </c>
      <c r="C294" s="320" t="s">
        <v>3588</v>
      </c>
      <c r="D294" s="771"/>
      <c r="E294" s="771" t="str">
        <f>+B293</f>
        <v>ABA522</v>
      </c>
      <c r="F294" s="334"/>
      <c r="G294" s="334"/>
    </row>
    <row r="295" spans="1:8">
      <c r="A295" s="767" t="s">
        <v>1965</v>
      </c>
      <c r="B295" s="317" t="s">
        <v>3116</v>
      </c>
      <c r="C295" s="317" t="s">
        <v>3117</v>
      </c>
      <c r="D295" s="328"/>
      <c r="E295" s="328"/>
      <c r="F295" s="333"/>
      <c r="G295" s="333"/>
    </row>
    <row r="296" spans="1:8">
      <c r="A296" s="319">
        <v>5</v>
      </c>
      <c r="B296" s="806" t="s">
        <v>4102</v>
      </c>
      <c r="C296" s="320" t="s">
        <v>3589</v>
      </c>
      <c r="D296" s="771"/>
      <c r="E296" s="771" t="str">
        <f>+B295</f>
        <v>ABA530</v>
      </c>
      <c r="F296" s="334"/>
      <c r="G296" s="334">
        <v>0</v>
      </c>
    </row>
    <row r="297" spans="1:8">
      <c r="A297" s="319">
        <v>5</v>
      </c>
      <c r="B297" s="319" t="s">
        <v>4103</v>
      </c>
      <c r="C297" s="320" t="s">
        <v>4104</v>
      </c>
      <c r="D297" s="771"/>
      <c r="E297" s="771" t="str">
        <f>+E296</f>
        <v>ABA530</v>
      </c>
      <c r="F297" s="334"/>
      <c r="G297" s="334">
        <v>8241</v>
      </c>
    </row>
    <row r="298" spans="1:8">
      <c r="A298" s="319">
        <v>5</v>
      </c>
      <c r="B298" s="319" t="s">
        <v>4105</v>
      </c>
      <c r="C298" s="320" t="s">
        <v>4106</v>
      </c>
      <c r="D298" s="771"/>
      <c r="E298" s="771" t="str">
        <f>+E297</f>
        <v>ABA530</v>
      </c>
      <c r="F298" s="334"/>
      <c r="G298" s="334"/>
    </row>
    <row r="299" spans="1:8">
      <c r="A299" s="319" t="s">
        <v>1967</v>
      </c>
      <c r="B299" s="319" t="s">
        <v>4107</v>
      </c>
      <c r="C299" s="320" t="s">
        <v>3590</v>
      </c>
      <c r="D299" s="771"/>
      <c r="E299" s="771" t="str">
        <f>+E298</f>
        <v>ABA530</v>
      </c>
      <c r="F299" s="334"/>
      <c r="G299" s="334"/>
      <c r="H299" t="s">
        <v>3907</v>
      </c>
    </row>
    <row r="300" spans="1:8">
      <c r="A300" s="767" t="s">
        <v>1965</v>
      </c>
      <c r="B300" s="317" t="s">
        <v>3118</v>
      </c>
      <c r="C300" s="317" t="s">
        <v>3119</v>
      </c>
      <c r="D300" s="328"/>
      <c r="E300" s="328"/>
      <c r="F300" s="333"/>
      <c r="G300" s="333"/>
    </row>
    <row r="301" spans="1:8">
      <c r="A301" s="767" t="s">
        <v>1967</v>
      </c>
      <c r="B301" s="317" t="s">
        <v>3120</v>
      </c>
      <c r="C301" s="317" t="s">
        <v>3121</v>
      </c>
      <c r="D301" s="328"/>
      <c r="E301" s="328"/>
      <c r="F301" s="333"/>
      <c r="G301" s="333"/>
    </row>
    <row r="302" spans="1:8" ht="25.5">
      <c r="A302" s="767" t="s">
        <v>1969</v>
      </c>
      <c r="B302" s="317" t="s">
        <v>3122</v>
      </c>
      <c r="C302" s="317" t="s">
        <v>3123</v>
      </c>
      <c r="D302" s="328" t="s">
        <v>1248</v>
      </c>
      <c r="E302" s="328"/>
      <c r="F302" s="333"/>
      <c r="G302" s="333"/>
    </row>
    <row r="303" spans="1:8" ht="24">
      <c r="A303" s="319">
        <v>7</v>
      </c>
      <c r="B303" s="319" t="s">
        <v>4108</v>
      </c>
      <c r="C303" s="320" t="s">
        <v>3591</v>
      </c>
      <c r="D303" s="771" t="s">
        <v>1248</v>
      </c>
      <c r="E303" s="771" t="str">
        <f>+B302</f>
        <v>ABA560</v>
      </c>
      <c r="F303" s="334"/>
      <c r="G303" s="334"/>
    </row>
    <row r="304" spans="1:8" ht="25.5">
      <c r="A304" s="767" t="s">
        <v>1969</v>
      </c>
      <c r="B304" s="317" t="s">
        <v>3124</v>
      </c>
      <c r="C304" s="317" t="s">
        <v>3125</v>
      </c>
      <c r="D304" s="328" t="s">
        <v>1248</v>
      </c>
      <c r="E304" s="328"/>
      <c r="F304" s="333"/>
      <c r="G304" s="333"/>
    </row>
    <row r="305" spans="1:8" ht="24">
      <c r="A305" s="319">
        <v>7</v>
      </c>
      <c r="B305" s="319" t="s">
        <v>4109</v>
      </c>
      <c r="C305" s="320" t="s">
        <v>3592</v>
      </c>
      <c r="D305" s="771" t="s">
        <v>1248</v>
      </c>
      <c r="E305" s="771" t="str">
        <f>+B304</f>
        <v>ABA570</v>
      </c>
      <c r="F305" s="334"/>
      <c r="G305" s="334"/>
    </row>
    <row r="306" spans="1:8" ht="24">
      <c r="A306" s="319">
        <v>7</v>
      </c>
      <c r="B306" s="319" t="s">
        <v>4110</v>
      </c>
      <c r="C306" s="320" t="s">
        <v>4111</v>
      </c>
      <c r="D306" s="771" t="s">
        <v>1248</v>
      </c>
      <c r="E306" s="771" t="str">
        <f>+E305</f>
        <v>ABA570</v>
      </c>
      <c r="F306" s="334"/>
      <c r="G306" s="334"/>
    </row>
    <row r="307" spans="1:8" ht="24">
      <c r="A307" s="319">
        <v>7</v>
      </c>
      <c r="B307" s="319" t="s">
        <v>4112</v>
      </c>
      <c r="C307" s="320" t="s">
        <v>4113</v>
      </c>
      <c r="D307" s="771" t="s">
        <v>1248</v>
      </c>
      <c r="E307" s="771" t="str">
        <f>+E306</f>
        <v>ABA570</v>
      </c>
      <c r="F307" s="334"/>
      <c r="G307" s="334"/>
    </row>
    <row r="308" spans="1:8" ht="25.5">
      <c r="A308" s="767" t="s">
        <v>1969</v>
      </c>
      <c r="B308" s="317" t="s">
        <v>3126</v>
      </c>
      <c r="C308" s="317" t="s">
        <v>3127</v>
      </c>
      <c r="D308" s="328" t="s">
        <v>1248</v>
      </c>
      <c r="E308" s="328"/>
      <c r="F308" s="333"/>
      <c r="G308" s="333"/>
    </row>
    <row r="309" spans="1:8">
      <c r="A309" s="319">
        <v>7</v>
      </c>
      <c r="B309" s="319" t="s">
        <v>4114</v>
      </c>
      <c r="C309" s="320" t="s">
        <v>3593</v>
      </c>
      <c r="D309" s="771" t="s">
        <v>1248</v>
      </c>
      <c r="E309" s="771" t="str">
        <f>+B308</f>
        <v>ABA580</v>
      </c>
      <c r="F309" s="334">
        <v>102221478.54000001</v>
      </c>
      <c r="G309" s="334">
        <v>144720103.19999999</v>
      </c>
    </row>
    <row r="310" spans="1:8" ht="24">
      <c r="A310" s="319">
        <v>7</v>
      </c>
      <c r="B310" s="319" t="s">
        <v>4115</v>
      </c>
      <c r="C310" s="320" t="s">
        <v>4116</v>
      </c>
      <c r="D310" s="771" t="s">
        <v>1248</v>
      </c>
      <c r="E310" s="771" t="str">
        <f>+E309</f>
        <v>ABA580</v>
      </c>
      <c r="F310" s="334">
        <v>799908.6</v>
      </c>
      <c r="G310" s="334">
        <v>2093054.6</v>
      </c>
    </row>
    <row r="311" spans="1:8" ht="24">
      <c r="A311" s="319">
        <v>7</v>
      </c>
      <c r="B311" s="319" t="s">
        <v>4117</v>
      </c>
      <c r="C311" s="320" t="s">
        <v>4118</v>
      </c>
      <c r="D311" s="771" t="s">
        <v>1248</v>
      </c>
      <c r="E311" s="771" t="str">
        <f>+E310</f>
        <v>ABA580</v>
      </c>
      <c r="F311" s="334">
        <v>-6667914.3799999999</v>
      </c>
      <c r="G311" s="334">
        <v>-2769123.22</v>
      </c>
    </row>
    <row r="312" spans="1:8">
      <c r="A312" s="767" t="s">
        <v>1967</v>
      </c>
      <c r="B312" s="317" t="s">
        <v>3128</v>
      </c>
      <c r="C312" s="317" t="s">
        <v>3129</v>
      </c>
      <c r="D312" s="328"/>
      <c r="E312" s="328"/>
      <c r="F312" s="333"/>
      <c r="G312" s="333"/>
    </row>
    <row r="313" spans="1:8">
      <c r="A313" s="319">
        <v>6</v>
      </c>
      <c r="B313" s="319" t="s">
        <v>4119</v>
      </c>
      <c r="C313" s="320" t="s">
        <v>3594</v>
      </c>
      <c r="D313" s="771"/>
      <c r="E313" s="771" t="str">
        <f>+B312</f>
        <v>ABA590</v>
      </c>
      <c r="F313" s="334"/>
      <c r="G313" s="334"/>
    </row>
    <row r="314" spans="1:8" ht="38.25">
      <c r="A314" s="767" t="s">
        <v>1967</v>
      </c>
      <c r="B314" s="317" t="s">
        <v>3130</v>
      </c>
      <c r="C314" s="317" t="s">
        <v>4120</v>
      </c>
      <c r="D314" s="328"/>
      <c r="E314" s="328"/>
      <c r="F314" s="333"/>
      <c r="G314" s="333"/>
    </row>
    <row r="315" spans="1:8" ht="36">
      <c r="A315" s="319" t="s">
        <v>1969</v>
      </c>
      <c r="B315" s="319" t="s">
        <v>4121</v>
      </c>
      <c r="C315" s="320" t="s">
        <v>4122</v>
      </c>
      <c r="D315" s="771" t="s">
        <v>4123</v>
      </c>
      <c r="E315" s="771"/>
      <c r="F315" s="334"/>
      <c r="G315" s="334"/>
    </row>
    <row r="316" spans="1:8">
      <c r="A316" s="767" t="s">
        <v>1967</v>
      </c>
      <c r="B316" s="317" t="s">
        <v>3132</v>
      </c>
      <c r="C316" s="317" t="s">
        <v>3133</v>
      </c>
      <c r="D316" s="328"/>
      <c r="E316" s="328"/>
      <c r="F316" s="333"/>
      <c r="G316" s="333"/>
    </row>
    <row r="317" spans="1:8">
      <c r="A317" s="319">
        <v>6</v>
      </c>
      <c r="B317" s="319" t="s">
        <v>4124</v>
      </c>
      <c r="C317" s="320" t="s">
        <v>3595</v>
      </c>
      <c r="D317" s="771"/>
      <c r="E317" s="771" t="str">
        <f>+B316</f>
        <v>ABA600</v>
      </c>
      <c r="F317" s="334">
        <v>53548.62</v>
      </c>
      <c r="G317" s="334">
        <v>56447.87</v>
      </c>
    </row>
    <row r="318" spans="1:8" ht="24">
      <c r="A318" s="319">
        <v>6</v>
      </c>
      <c r="B318" s="319" t="s">
        <v>4125</v>
      </c>
      <c r="C318" s="320" t="s">
        <v>4126</v>
      </c>
      <c r="D318" s="771"/>
      <c r="E318" s="771" t="str">
        <f>+E317</f>
        <v>ABA600</v>
      </c>
      <c r="F318" s="334"/>
      <c r="G318" s="334"/>
    </row>
    <row r="319" spans="1:8">
      <c r="A319" s="319">
        <v>6</v>
      </c>
      <c r="B319" s="319" t="s">
        <v>4127</v>
      </c>
      <c r="C319" s="320" t="s">
        <v>4128</v>
      </c>
      <c r="D319" s="771"/>
      <c r="E319" s="771" t="str">
        <f>+E318</f>
        <v>ABA600</v>
      </c>
      <c r="F319" s="334">
        <v>153.74</v>
      </c>
      <c r="G319" s="334">
        <v>153.74</v>
      </c>
    </row>
    <row r="320" spans="1:8">
      <c r="A320" s="319" t="s">
        <v>1969</v>
      </c>
      <c r="B320" s="319" t="s">
        <v>4129</v>
      </c>
      <c r="C320" s="320" t="s">
        <v>3596</v>
      </c>
      <c r="D320" s="771"/>
      <c r="E320" s="771" t="str">
        <f>+E319</f>
        <v>ABA600</v>
      </c>
      <c r="F320" s="334"/>
      <c r="G320" s="334"/>
      <c r="H320" t="s">
        <v>3907</v>
      </c>
    </row>
    <row r="321" spans="1:8" ht="38.25">
      <c r="A321" s="767" t="s">
        <v>1967</v>
      </c>
      <c r="B321" s="317" t="s">
        <v>3134</v>
      </c>
      <c r="C321" s="317" t="s">
        <v>4130</v>
      </c>
      <c r="D321" s="328" t="s">
        <v>1248</v>
      </c>
      <c r="E321" s="328"/>
      <c r="F321" s="333"/>
      <c r="G321" s="333"/>
    </row>
    <row r="322" spans="1:8" ht="24">
      <c r="A322" s="319" t="s">
        <v>1969</v>
      </c>
      <c r="B322" s="319" t="s">
        <v>4131</v>
      </c>
      <c r="C322" s="320" t="s">
        <v>4132</v>
      </c>
      <c r="D322" s="771" t="s">
        <v>1248</v>
      </c>
      <c r="E322" s="771" t="str">
        <f>+B321</f>
        <v>ABA601</v>
      </c>
      <c r="F322" s="334"/>
      <c r="G322" s="334"/>
    </row>
    <row r="323" spans="1:8">
      <c r="A323" s="767" t="s">
        <v>1965</v>
      </c>
      <c r="B323" s="317" t="s">
        <v>3136</v>
      </c>
      <c r="C323" s="317" t="s">
        <v>3137</v>
      </c>
      <c r="D323" s="328"/>
      <c r="E323" s="328"/>
      <c r="F323" s="333"/>
      <c r="G323" s="333"/>
    </row>
    <row r="324" spans="1:8">
      <c r="A324" s="767" t="s">
        <v>1967</v>
      </c>
      <c r="B324" s="317" t="s">
        <v>3138</v>
      </c>
      <c r="C324" s="317" t="s">
        <v>3139</v>
      </c>
      <c r="D324" s="328"/>
      <c r="E324" s="328"/>
      <c r="F324" s="333"/>
      <c r="G324" s="333"/>
    </row>
    <row r="325" spans="1:8">
      <c r="A325" s="319">
        <v>6</v>
      </c>
      <c r="B325" s="319" t="s">
        <v>4133</v>
      </c>
      <c r="C325" s="320" t="s">
        <v>3597</v>
      </c>
      <c r="D325" s="771"/>
      <c r="E325" s="771" t="str">
        <f>+B324</f>
        <v>ABA620</v>
      </c>
      <c r="F325" s="334"/>
      <c r="G325" s="334"/>
    </row>
    <row r="326" spans="1:8">
      <c r="A326" s="319" t="s">
        <v>1969</v>
      </c>
      <c r="B326" s="319" t="s">
        <v>4134</v>
      </c>
      <c r="C326" s="320" t="s">
        <v>3598</v>
      </c>
      <c r="D326" s="771"/>
      <c r="E326" s="771" t="str">
        <f>+E325</f>
        <v>ABA620</v>
      </c>
      <c r="F326" s="334"/>
      <c r="G326" s="334"/>
      <c r="H326" t="s">
        <v>3907</v>
      </c>
    </row>
    <row r="327" spans="1:8">
      <c r="A327" s="767" t="s">
        <v>1967</v>
      </c>
      <c r="B327" s="317" t="s">
        <v>3140</v>
      </c>
      <c r="C327" s="317" t="s">
        <v>3141</v>
      </c>
      <c r="D327" s="328"/>
      <c r="E327" s="328"/>
      <c r="F327" s="333"/>
      <c r="G327" s="333"/>
    </row>
    <row r="328" spans="1:8">
      <c r="A328" s="319">
        <v>6</v>
      </c>
      <c r="B328" s="319" t="s">
        <v>4135</v>
      </c>
      <c r="C328" s="320" t="s">
        <v>3599</v>
      </c>
      <c r="D328" s="771"/>
      <c r="E328" s="771" t="str">
        <f>+B327</f>
        <v>ABA630</v>
      </c>
      <c r="F328" s="334"/>
      <c r="G328" s="334"/>
    </row>
    <row r="329" spans="1:8">
      <c r="A329" s="319" t="s">
        <v>1969</v>
      </c>
      <c r="B329" s="319" t="s">
        <v>4136</v>
      </c>
      <c r="C329" s="320" t="s">
        <v>3600</v>
      </c>
      <c r="D329" s="771"/>
      <c r="E329" s="771" t="str">
        <f>+E328</f>
        <v>ABA630</v>
      </c>
      <c r="F329" s="334"/>
      <c r="G329" s="334"/>
      <c r="H329" t="s">
        <v>3907</v>
      </c>
    </row>
    <row r="330" spans="1:8">
      <c r="A330" s="767" t="s">
        <v>1967</v>
      </c>
      <c r="B330" s="317" t="s">
        <v>3142</v>
      </c>
      <c r="C330" s="317" t="s">
        <v>3143</v>
      </c>
      <c r="D330" s="328"/>
      <c r="E330" s="328"/>
      <c r="F330" s="333"/>
      <c r="G330" s="333"/>
    </row>
    <row r="331" spans="1:8">
      <c r="A331" s="319">
        <v>6</v>
      </c>
      <c r="B331" s="319" t="s">
        <v>4137</v>
      </c>
      <c r="C331" s="320" t="s">
        <v>3601</v>
      </c>
      <c r="D331" s="771"/>
      <c r="E331" s="771" t="str">
        <f>+B330</f>
        <v>ABA640</v>
      </c>
      <c r="F331" s="334"/>
      <c r="G331" s="334"/>
    </row>
    <row r="332" spans="1:8">
      <c r="A332" s="319">
        <v>6</v>
      </c>
      <c r="B332" s="319" t="s">
        <v>4138</v>
      </c>
      <c r="C332" s="320" t="s">
        <v>4139</v>
      </c>
      <c r="D332" s="771"/>
      <c r="E332" s="771" t="str">
        <f>+E331</f>
        <v>ABA640</v>
      </c>
      <c r="F332" s="334"/>
      <c r="G332" s="334"/>
    </row>
    <row r="333" spans="1:8">
      <c r="A333" s="319">
        <v>6</v>
      </c>
      <c r="B333" s="319" t="s">
        <v>4140</v>
      </c>
      <c r="C333" s="320" t="s">
        <v>4141</v>
      </c>
      <c r="D333" s="771"/>
      <c r="E333" s="771" t="str">
        <f>+E332</f>
        <v>ABA640</v>
      </c>
      <c r="F333" s="334"/>
      <c r="G333" s="334"/>
    </row>
    <row r="334" spans="1:8">
      <c r="A334" s="319" t="s">
        <v>1969</v>
      </c>
      <c r="B334" s="319" t="s">
        <v>4142</v>
      </c>
      <c r="C334" s="320" t="s">
        <v>3602</v>
      </c>
      <c r="D334" s="771"/>
      <c r="E334" s="771" t="str">
        <f>+E333</f>
        <v>ABA640</v>
      </c>
      <c r="F334" s="334"/>
      <c r="G334" s="334"/>
      <c r="H334" t="s">
        <v>3907</v>
      </c>
    </row>
    <row r="335" spans="1:8">
      <c r="A335" s="767" t="s">
        <v>1965</v>
      </c>
      <c r="B335" s="317" t="s">
        <v>3144</v>
      </c>
      <c r="C335" s="317" t="s">
        <v>3145</v>
      </c>
      <c r="D335" s="328"/>
      <c r="E335" s="328"/>
      <c r="F335" s="333"/>
      <c r="G335" s="333"/>
    </row>
    <row r="336" spans="1:8">
      <c r="A336" s="319">
        <v>5</v>
      </c>
      <c r="B336" s="319" t="s">
        <v>4143</v>
      </c>
      <c r="C336" s="320" t="s">
        <v>4144</v>
      </c>
      <c r="D336" s="771"/>
      <c r="E336" s="771" t="str">
        <f>+B335</f>
        <v>ABA650</v>
      </c>
      <c r="F336" s="334"/>
      <c r="G336" s="334"/>
    </row>
    <row r="337" spans="1:10">
      <c r="A337" s="319">
        <v>5</v>
      </c>
      <c r="B337" s="319" t="s">
        <v>4145</v>
      </c>
      <c r="C337" s="320" t="s">
        <v>4146</v>
      </c>
      <c r="D337" s="771"/>
      <c r="E337" s="771" t="str">
        <f>+E336</f>
        <v>ABA650</v>
      </c>
      <c r="F337" s="334"/>
      <c r="G337" s="334"/>
    </row>
    <row r="338" spans="1:10">
      <c r="A338" s="319">
        <v>5</v>
      </c>
      <c r="B338" s="319" t="s">
        <v>4147</v>
      </c>
      <c r="C338" s="320" t="s">
        <v>3603</v>
      </c>
      <c r="D338" s="771"/>
      <c r="E338" s="771" t="str">
        <f>+E337</f>
        <v>ABA650</v>
      </c>
      <c r="F338" s="334">
        <v>44402.23</v>
      </c>
      <c r="G338" s="334">
        <v>35474.69</v>
      </c>
    </row>
    <row r="339" spans="1:10">
      <c r="A339" s="319">
        <v>5</v>
      </c>
      <c r="B339" s="319" t="s">
        <v>4148</v>
      </c>
      <c r="C339" s="320" t="s">
        <v>4149</v>
      </c>
      <c r="D339" s="771"/>
      <c r="E339" s="771" t="str">
        <f>+E338</f>
        <v>ABA650</v>
      </c>
      <c r="F339" s="334"/>
      <c r="G339" s="334">
        <v>0</v>
      </c>
    </row>
    <row r="340" spans="1:10">
      <c r="A340" s="319">
        <v>5</v>
      </c>
      <c r="B340" s="319" t="s">
        <v>4150</v>
      </c>
      <c r="C340" s="320" t="s">
        <v>3604</v>
      </c>
      <c r="D340" s="771"/>
      <c r="E340" s="771" t="str">
        <f>+E339</f>
        <v>ABA650</v>
      </c>
      <c r="F340" s="334"/>
      <c r="G340" s="334"/>
    </row>
    <row r="341" spans="1:10">
      <c r="A341" s="319">
        <v>5</v>
      </c>
      <c r="B341" s="319" t="s">
        <v>4151</v>
      </c>
      <c r="C341" s="320" t="s">
        <v>3605</v>
      </c>
      <c r="D341" s="771"/>
      <c r="E341" s="771" t="str">
        <f t="shared" ref="E341:E343" si="0">+E340</f>
        <v>ABA650</v>
      </c>
      <c r="F341" s="334"/>
      <c r="G341" s="334">
        <v>0</v>
      </c>
    </row>
    <row r="342" spans="1:10">
      <c r="A342" s="319">
        <v>5</v>
      </c>
      <c r="B342" s="319" t="s">
        <v>4152</v>
      </c>
      <c r="C342" s="320" t="s">
        <v>3606</v>
      </c>
      <c r="D342" s="771"/>
      <c r="E342" s="771" t="str">
        <f t="shared" si="0"/>
        <v>ABA650</v>
      </c>
      <c r="F342" s="334">
        <v>3052</v>
      </c>
      <c r="G342" s="334">
        <v>402</v>
      </c>
    </row>
    <row r="343" spans="1:10">
      <c r="A343" s="319" t="s">
        <v>1967</v>
      </c>
      <c r="B343" s="319" t="s">
        <v>4153</v>
      </c>
      <c r="C343" s="320" t="s">
        <v>3607</v>
      </c>
      <c r="D343" s="771"/>
      <c r="E343" s="771" t="str">
        <f t="shared" si="0"/>
        <v>ABA650</v>
      </c>
      <c r="F343" s="334"/>
      <c r="G343" s="334"/>
      <c r="H343" t="s">
        <v>3907</v>
      </c>
    </row>
    <row r="344" spans="1:10">
      <c r="A344" s="767" t="s">
        <v>1965</v>
      </c>
      <c r="B344" s="317" t="s">
        <v>3146</v>
      </c>
      <c r="C344" s="317" t="s">
        <v>3147</v>
      </c>
      <c r="D344" s="328"/>
      <c r="E344" s="328"/>
      <c r="F344" s="333"/>
      <c r="G344" s="333"/>
    </row>
    <row r="345" spans="1:10">
      <c r="A345" s="767" t="s">
        <v>1967</v>
      </c>
      <c r="B345" s="317" t="s">
        <v>3148</v>
      </c>
      <c r="C345" s="317" t="s">
        <v>3149</v>
      </c>
      <c r="D345" s="328"/>
      <c r="E345" s="328"/>
      <c r="F345" s="333"/>
      <c r="G345" s="333"/>
    </row>
    <row r="346" spans="1:10">
      <c r="A346" s="319">
        <v>6</v>
      </c>
      <c r="B346" s="319" t="s">
        <v>4154</v>
      </c>
      <c r="C346" s="320" t="s">
        <v>3608</v>
      </c>
      <c r="D346" s="771"/>
      <c r="E346" s="771" t="str">
        <f>+B345</f>
        <v>ABA670</v>
      </c>
      <c r="F346" s="334">
        <v>30264.67</v>
      </c>
      <c r="G346" s="334">
        <v>284524.82</v>
      </c>
    </row>
    <row r="347" spans="1:10">
      <c r="A347" s="319">
        <v>6</v>
      </c>
      <c r="B347" s="319" t="s">
        <v>4155</v>
      </c>
      <c r="C347" s="320" t="s">
        <v>3609</v>
      </c>
      <c r="D347" s="771"/>
      <c r="E347" s="771" t="str">
        <f>+E346</f>
        <v>ABA670</v>
      </c>
      <c r="F347" s="334"/>
      <c r="G347" s="334">
        <v>0</v>
      </c>
    </row>
    <row r="348" spans="1:10">
      <c r="A348" s="319">
        <v>6</v>
      </c>
      <c r="B348" s="319" t="s">
        <v>4156</v>
      </c>
      <c r="C348" s="320" t="s">
        <v>3610</v>
      </c>
      <c r="D348" s="771"/>
      <c r="E348" s="771" t="str">
        <f>+E347</f>
        <v>ABA670</v>
      </c>
      <c r="F348" s="334">
        <v>200</v>
      </c>
      <c r="G348" s="334">
        <v>87008.45</v>
      </c>
    </row>
    <row r="349" spans="1:10">
      <c r="A349" s="319">
        <v>6</v>
      </c>
      <c r="B349" s="319" t="s">
        <v>4157</v>
      </c>
      <c r="C349" s="320" t="s">
        <v>4158</v>
      </c>
      <c r="D349" s="771"/>
      <c r="E349" s="771" t="str">
        <f>+E348</f>
        <v>ABA670</v>
      </c>
      <c r="F349" s="334">
        <v>6606.58</v>
      </c>
      <c r="G349" s="334">
        <v>11419.61</v>
      </c>
    </row>
    <row r="350" spans="1:10">
      <c r="A350" s="319">
        <v>6</v>
      </c>
      <c r="B350" s="319" t="s">
        <v>4159</v>
      </c>
      <c r="C350" s="320" t="s">
        <v>4160</v>
      </c>
      <c r="D350" s="771"/>
      <c r="E350" s="771" t="str">
        <f>+E349</f>
        <v>ABA670</v>
      </c>
      <c r="F350" s="334">
        <v>-3602</v>
      </c>
      <c r="G350" s="334">
        <v>-148075.75</v>
      </c>
    </row>
    <row r="351" spans="1:10">
      <c r="A351" s="319" t="s">
        <v>1969</v>
      </c>
      <c r="B351" s="319" t="s">
        <v>4161</v>
      </c>
      <c r="C351" s="320" t="s">
        <v>3611</v>
      </c>
      <c r="D351" s="771"/>
      <c r="E351" s="771" t="str">
        <f t="shared" ref="E351" si="1">+E350</f>
        <v>ABA670</v>
      </c>
      <c r="F351" s="334">
        <v>-27033.75</v>
      </c>
      <c r="G351" s="334">
        <v>-41536.75</v>
      </c>
      <c r="H351" t="s">
        <v>3907</v>
      </c>
      <c r="J351" s="807"/>
    </row>
    <row r="352" spans="1:10">
      <c r="A352" s="767" t="s">
        <v>1967</v>
      </c>
      <c r="B352" s="317" t="s">
        <v>3150</v>
      </c>
      <c r="C352" s="317" t="s">
        <v>3151</v>
      </c>
      <c r="D352" s="328"/>
      <c r="E352" s="328"/>
      <c r="F352" s="333"/>
      <c r="G352" s="333"/>
    </row>
    <row r="353" spans="1:10">
      <c r="A353" s="319">
        <v>6</v>
      </c>
      <c r="B353" s="319" t="s">
        <v>4162</v>
      </c>
      <c r="C353" s="320" t="s">
        <v>3612</v>
      </c>
      <c r="D353" s="771"/>
      <c r="E353" s="771" t="str">
        <f>+B352</f>
        <v>ABA680</v>
      </c>
      <c r="F353" s="334"/>
      <c r="G353" s="334"/>
    </row>
    <row r="354" spans="1:10">
      <c r="A354" s="319" t="s">
        <v>1969</v>
      </c>
      <c r="B354" s="319" t="s">
        <v>4163</v>
      </c>
      <c r="C354" s="320" t="s">
        <v>3613</v>
      </c>
      <c r="D354" s="771"/>
      <c r="E354" s="771" t="str">
        <f>+E353</f>
        <v>ABA680</v>
      </c>
      <c r="F354" s="334"/>
      <c r="G354" s="334"/>
      <c r="H354" t="s">
        <v>3907</v>
      </c>
    </row>
    <row r="355" spans="1:10">
      <c r="A355" s="767" t="s">
        <v>1967</v>
      </c>
      <c r="B355" s="317" t="s">
        <v>3152</v>
      </c>
      <c r="C355" s="317" t="s">
        <v>3153</v>
      </c>
      <c r="D355" s="328"/>
      <c r="E355" s="328"/>
      <c r="F355" s="333"/>
      <c r="G355" s="333"/>
    </row>
    <row r="356" spans="1:10">
      <c r="A356" s="319">
        <v>6</v>
      </c>
      <c r="B356" s="319" t="s">
        <v>4164</v>
      </c>
      <c r="C356" s="320" t="s">
        <v>3614</v>
      </c>
      <c r="D356" s="771"/>
      <c r="E356" s="771" t="str">
        <f>+B355</f>
        <v>ABA690</v>
      </c>
      <c r="F356" s="334"/>
      <c r="G356" s="334"/>
    </row>
    <row r="357" spans="1:10">
      <c r="A357" s="319">
        <v>6</v>
      </c>
      <c r="B357" s="319" t="s">
        <v>4165</v>
      </c>
      <c r="C357" s="320" t="s">
        <v>3615</v>
      </c>
      <c r="D357" s="771"/>
      <c r="E357" s="771" t="str">
        <f>+E356</f>
        <v>ABA690</v>
      </c>
      <c r="F357" s="334">
        <v>382724.02</v>
      </c>
      <c r="G357" s="334">
        <v>264431.73</v>
      </c>
    </row>
    <row r="358" spans="1:10">
      <c r="A358" s="319">
        <v>6</v>
      </c>
      <c r="B358" s="319" t="s">
        <v>4166</v>
      </c>
      <c r="C358" s="320" t="s">
        <v>4167</v>
      </c>
      <c r="D358" s="771"/>
      <c r="E358" s="771" t="str">
        <f>+E357</f>
        <v>ABA690</v>
      </c>
      <c r="F358" s="334"/>
      <c r="G358" s="334"/>
    </row>
    <row r="359" spans="1:10">
      <c r="A359" s="319">
        <v>6</v>
      </c>
      <c r="B359" s="319" t="s">
        <v>4168</v>
      </c>
      <c r="C359" s="320" t="s">
        <v>4169</v>
      </c>
      <c r="D359" s="771"/>
      <c r="E359" s="771" t="str">
        <f>+E358</f>
        <v>ABA690</v>
      </c>
      <c r="F359" s="334"/>
      <c r="G359" s="334"/>
    </row>
    <row r="360" spans="1:10">
      <c r="A360" s="319" t="s">
        <v>1969</v>
      </c>
      <c r="B360" s="319" t="s">
        <v>4170</v>
      </c>
      <c r="C360" s="320" t="s">
        <v>3616</v>
      </c>
      <c r="D360" s="771"/>
      <c r="E360" s="771" t="str">
        <f>+E359</f>
        <v>ABA690</v>
      </c>
      <c r="F360" s="334"/>
      <c r="G360" s="334"/>
      <c r="H360" t="s">
        <v>3907</v>
      </c>
    </row>
    <row r="361" spans="1:10">
      <c r="A361" s="767" t="s">
        <v>1967</v>
      </c>
      <c r="B361" s="317" t="s">
        <v>3154</v>
      </c>
      <c r="C361" s="317" t="s">
        <v>3155</v>
      </c>
      <c r="D361" s="328"/>
      <c r="E361" s="328"/>
      <c r="F361" s="333"/>
      <c r="G361" s="333"/>
    </row>
    <row r="362" spans="1:10">
      <c r="A362" s="319">
        <v>6</v>
      </c>
      <c r="B362" s="319" t="s">
        <v>4171</v>
      </c>
      <c r="C362" s="320" t="s">
        <v>3617</v>
      </c>
      <c r="D362" s="771"/>
      <c r="E362" s="771" t="str">
        <f>+B361</f>
        <v>ABA700</v>
      </c>
      <c r="F362" s="334"/>
      <c r="G362" s="334"/>
    </row>
    <row r="363" spans="1:10">
      <c r="A363" s="319" t="s">
        <v>1969</v>
      </c>
      <c r="B363" s="319" t="s">
        <v>4172</v>
      </c>
      <c r="C363" s="320" t="s">
        <v>3618</v>
      </c>
      <c r="D363" s="771"/>
      <c r="E363" s="771" t="str">
        <f>+E362</f>
        <v>ABA700</v>
      </c>
      <c r="F363" s="334"/>
      <c r="G363" s="334"/>
      <c r="H363" t="s">
        <v>3907</v>
      </c>
    </row>
    <row r="364" spans="1:10">
      <c r="A364" s="767" t="s">
        <v>1967</v>
      </c>
      <c r="B364" s="317" t="s">
        <v>3156</v>
      </c>
      <c r="C364" s="317" t="s">
        <v>3157</v>
      </c>
      <c r="D364" s="328"/>
      <c r="E364" s="328"/>
      <c r="F364" s="333"/>
      <c r="G364" s="333"/>
    </row>
    <row r="365" spans="1:10">
      <c r="A365" s="767" t="s">
        <v>1969</v>
      </c>
      <c r="B365" s="317" t="s">
        <v>3158</v>
      </c>
      <c r="C365" s="317" t="s">
        <v>4173</v>
      </c>
      <c r="D365" s="328"/>
      <c r="E365" s="328"/>
      <c r="F365" s="333"/>
      <c r="G365" s="333"/>
    </row>
    <row r="366" spans="1:10">
      <c r="A366" s="319">
        <v>7</v>
      </c>
      <c r="B366" s="319" t="s">
        <v>4174</v>
      </c>
      <c r="C366" s="320" t="s">
        <v>3619</v>
      </c>
      <c r="D366" s="771"/>
      <c r="E366" s="771" t="str">
        <f>+B365</f>
        <v>ABA711</v>
      </c>
      <c r="F366" s="334">
        <v>260</v>
      </c>
      <c r="G366" s="334">
        <v>1635</v>
      </c>
      <c r="J366" s="807">
        <f>+F366+F369+F371</f>
        <v>119210.36</v>
      </c>
    </row>
    <row r="367" spans="1:10">
      <c r="A367" s="319">
        <v>7</v>
      </c>
      <c r="B367" s="319" t="s">
        <v>4175</v>
      </c>
      <c r="C367" s="320" t="s">
        <v>3620</v>
      </c>
      <c r="D367" s="771"/>
      <c r="E367" s="771" t="str">
        <f>+E366</f>
        <v>ABA711</v>
      </c>
      <c r="F367" s="334"/>
      <c r="G367" s="334">
        <v>0</v>
      </c>
    </row>
    <row r="368" spans="1:10">
      <c r="A368" s="319">
        <v>7</v>
      </c>
      <c r="B368" s="319" t="s">
        <v>4176</v>
      </c>
      <c r="C368" s="320" t="s">
        <v>3621</v>
      </c>
      <c r="D368" s="771"/>
      <c r="E368" s="771" t="str">
        <f>+E367</f>
        <v>ABA711</v>
      </c>
      <c r="F368" s="334"/>
      <c r="G368" s="334"/>
    </row>
    <row r="369" spans="1:8">
      <c r="A369" s="319">
        <v>7</v>
      </c>
      <c r="B369" s="319" t="s">
        <v>4177</v>
      </c>
      <c r="C369" s="320" t="s">
        <v>3622</v>
      </c>
      <c r="D369" s="771"/>
      <c r="E369" s="771" t="str">
        <f>+E368</f>
        <v>ABA711</v>
      </c>
      <c r="F369" s="334">
        <v>96391.44</v>
      </c>
      <c r="G369" s="334">
        <v>70915.16</v>
      </c>
    </row>
    <row r="370" spans="1:8">
      <c r="A370" s="319">
        <v>7</v>
      </c>
      <c r="B370" s="319" t="s">
        <v>4178</v>
      </c>
      <c r="C370" s="320" t="s">
        <v>4179</v>
      </c>
      <c r="D370" s="771"/>
      <c r="E370" s="771" t="str">
        <f>+E369</f>
        <v>ABA711</v>
      </c>
      <c r="F370" s="334"/>
      <c r="G370" s="334"/>
    </row>
    <row r="371" spans="1:8">
      <c r="A371" s="319">
        <v>7</v>
      </c>
      <c r="B371" s="319" t="s">
        <v>4180</v>
      </c>
      <c r="C371" s="320" t="s">
        <v>3623</v>
      </c>
      <c r="D371" s="771"/>
      <c r="E371" s="771" t="str">
        <f t="shared" ref="E371" si="2">+E370</f>
        <v>ABA711</v>
      </c>
      <c r="F371" s="334">
        <v>22558.92</v>
      </c>
      <c r="G371" s="334">
        <v>36142.42</v>
      </c>
    </row>
    <row r="372" spans="1:8">
      <c r="A372" s="319">
        <v>7</v>
      </c>
      <c r="B372" s="319" t="s">
        <v>4181</v>
      </c>
      <c r="C372" s="320" t="s">
        <v>3624</v>
      </c>
      <c r="D372" s="771"/>
      <c r="E372" s="771" t="str">
        <f>+E371</f>
        <v>ABA711</v>
      </c>
      <c r="F372" s="334"/>
      <c r="G372" s="334"/>
      <c r="H372" t="s">
        <v>3907</v>
      </c>
    </row>
    <row r="373" spans="1:8" ht="24">
      <c r="A373" s="319" t="s">
        <v>1970</v>
      </c>
      <c r="B373" s="776" t="s">
        <v>4182</v>
      </c>
      <c r="C373" s="320" t="s">
        <v>3625</v>
      </c>
      <c r="D373" s="771"/>
      <c r="E373" s="771" t="str">
        <f>+E372</f>
        <v>ABA711</v>
      </c>
      <c r="F373" s="334"/>
      <c r="G373" s="334"/>
      <c r="H373" t="s">
        <v>3907</v>
      </c>
    </row>
    <row r="374" spans="1:8">
      <c r="A374" s="767" t="s">
        <v>1969</v>
      </c>
      <c r="B374" s="317" t="s">
        <v>3160</v>
      </c>
      <c r="C374" s="317" t="s">
        <v>3161</v>
      </c>
      <c r="D374" s="328"/>
      <c r="E374" s="328"/>
      <c r="F374" s="333"/>
      <c r="G374" s="333"/>
    </row>
    <row r="375" spans="1:8">
      <c r="A375" s="319" t="s">
        <v>1970</v>
      </c>
      <c r="B375" s="319" t="s">
        <v>4183</v>
      </c>
      <c r="C375" s="320" t="s">
        <v>3626</v>
      </c>
      <c r="D375" s="771"/>
      <c r="E375" s="771" t="str">
        <f>+B374</f>
        <v>ABA712</v>
      </c>
      <c r="F375" s="334"/>
      <c r="G375" s="334"/>
    </row>
    <row r="376" spans="1:8" ht="25.5">
      <c r="A376" s="767" t="s">
        <v>1967</v>
      </c>
      <c r="B376" s="317" t="s">
        <v>3162</v>
      </c>
      <c r="C376" s="317" t="s">
        <v>3163</v>
      </c>
      <c r="D376" s="328"/>
      <c r="E376" s="328"/>
      <c r="F376" s="333"/>
      <c r="G376" s="333"/>
    </row>
    <row r="377" spans="1:8" ht="25.5">
      <c r="A377" s="767" t="s">
        <v>1969</v>
      </c>
      <c r="B377" s="317" t="s">
        <v>3164</v>
      </c>
      <c r="C377" s="317" t="s">
        <v>3165</v>
      </c>
      <c r="D377" s="328"/>
      <c r="E377" s="328"/>
      <c r="F377" s="333"/>
      <c r="G377" s="333"/>
    </row>
    <row r="378" spans="1:8" ht="24">
      <c r="A378" s="319" t="s">
        <v>1970</v>
      </c>
      <c r="B378" s="319" t="s">
        <v>4184</v>
      </c>
      <c r="C378" s="320" t="s">
        <v>3627</v>
      </c>
      <c r="D378" s="771"/>
      <c r="E378" s="771" t="str">
        <f>+B377</f>
        <v>ABA714</v>
      </c>
      <c r="F378" s="334"/>
      <c r="G378" s="334"/>
    </row>
    <row r="379" spans="1:8">
      <c r="A379" s="767" t="s">
        <v>1969</v>
      </c>
      <c r="B379" s="317" t="s">
        <v>3166</v>
      </c>
      <c r="C379" s="317" t="s">
        <v>4185</v>
      </c>
      <c r="D379" s="328"/>
      <c r="E379" s="328"/>
      <c r="F379" s="333"/>
      <c r="G379" s="333"/>
    </row>
    <row r="380" spans="1:8">
      <c r="A380" s="319" t="s">
        <v>1970</v>
      </c>
      <c r="B380" s="319" t="s">
        <v>4186</v>
      </c>
      <c r="C380" s="320" t="s">
        <v>3628</v>
      </c>
      <c r="D380" s="771"/>
      <c r="E380" s="771" t="str">
        <f>+B379</f>
        <v>ABA715</v>
      </c>
      <c r="F380" s="334"/>
      <c r="G380" s="334"/>
    </row>
    <row r="381" spans="1:8" ht="25.5">
      <c r="A381" s="767" t="s">
        <v>1963</v>
      </c>
      <c r="B381" s="317" t="s">
        <v>3168</v>
      </c>
      <c r="C381" s="317" t="s">
        <v>3169</v>
      </c>
      <c r="D381" s="328"/>
      <c r="E381" s="328"/>
      <c r="F381" s="333"/>
      <c r="G381" s="333"/>
    </row>
    <row r="382" spans="1:8">
      <c r="A382" s="767" t="s">
        <v>1965</v>
      </c>
      <c r="B382" s="317" t="s">
        <v>3170</v>
      </c>
      <c r="C382" s="317" t="s">
        <v>3171</v>
      </c>
      <c r="D382" s="328"/>
      <c r="E382" s="328"/>
      <c r="F382" s="333"/>
      <c r="G382" s="333"/>
    </row>
    <row r="383" spans="1:8">
      <c r="A383" s="319">
        <v>5</v>
      </c>
      <c r="B383" s="319" t="s">
        <v>4187</v>
      </c>
      <c r="C383" s="320" t="s">
        <v>3629</v>
      </c>
      <c r="D383" s="771"/>
      <c r="E383" s="771" t="str">
        <f>+B382</f>
        <v>ABA730</v>
      </c>
      <c r="F383" s="334"/>
      <c r="G383" s="334"/>
    </row>
    <row r="384" spans="1:8">
      <c r="A384" s="319">
        <v>5</v>
      </c>
      <c r="B384" s="319" t="s">
        <v>4188</v>
      </c>
      <c r="C384" s="320" t="s">
        <v>3630</v>
      </c>
      <c r="D384" s="771"/>
      <c r="E384" s="771" t="str">
        <f>+E383</f>
        <v>ABA730</v>
      </c>
      <c r="F384" s="334"/>
      <c r="G384" s="334"/>
    </row>
    <row r="385" spans="1:7">
      <c r="A385" s="319">
        <v>5</v>
      </c>
      <c r="B385" s="319" t="s">
        <v>4189</v>
      </c>
      <c r="C385" s="320" t="s">
        <v>3631</v>
      </c>
      <c r="D385" s="771"/>
      <c r="E385" s="771" t="str">
        <f>+E384</f>
        <v>ABA730</v>
      </c>
      <c r="F385" s="334"/>
      <c r="G385" s="334"/>
    </row>
    <row r="386" spans="1:7">
      <c r="A386" s="767" t="s">
        <v>1965</v>
      </c>
      <c r="B386" s="317" t="s">
        <v>3172</v>
      </c>
      <c r="C386" s="317" t="s">
        <v>3173</v>
      </c>
      <c r="D386" s="328"/>
      <c r="E386" s="328"/>
      <c r="F386" s="333"/>
      <c r="G386" s="333"/>
    </row>
    <row r="387" spans="1:7">
      <c r="A387" s="319" t="s">
        <v>1967</v>
      </c>
      <c r="B387" s="319" t="s">
        <v>4190</v>
      </c>
      <c r="C387" s="320" t="s">
        <v>2751</v>
      </c>
      <c r="D387" s="771"/>
      <c r="E387" s="771" t="str">
        <f>+B386</f>
        <v>ABA740</v>
      </c>
      <c r="F387" s="334"/>
      <c r="G387" s="334"/>
    </row>
    <row r="388" spans="1:7">
      <c r="A388" s="767" t="s">
        <v>1963</v>
      </c>
      <c r="B388" s="317" t="s">
        <v>3174</v>
      </c>
      <c r="C388" s="317" t="s">
        <v>3175</v>
      </c>
      <c r="D388" s="328"/>
      <c r="E388" s="328"/>
      <c r="F388" s="333"/>
      <c r="G388" s="333"/>
    </row>
    <row r="389" spans="1:7">
      <c r="A389" s="767" t="s">
        <v>1965</v>
      </c>
      <c r="B389" s="317" t="s">
        <v>3176</v>
      </c>
      <c r="C389" s="317" t="s">
        <v>3177</v>
      </c>
      <c r="D389" s="328"/>
      <c r="E389" s="328"/>
      <c r="F389" s="333"/>
      <c r="G389" s="333"/>
    </row>
    <row r="390" spans="1:7">
      <c r="A390" s="322">
        <v>5</v>
      </c>
      <c r="B390" s="322" t="s">
        <v>4191</v>
      </c>
      <c r="C390" s="323" t="s">
        <v>3632</v>
      </c>
      <c r="D390" s="331"/>
      <c r="E390" s="331"/>
      <c r="F390" s="778"/>
      <c r="G390" s="778"/>
    </row>
    <row r="391" spans="1:7">
      <c r="A391" s="319">
        <v>6</v>
      </c>
      <c r="B391" s="319" t="s">
        <v>4192</v>
      </c>
      <c r="C391" s="320" t="s">
        <v>4193</v>
      </c>
      <c r="D391" s="771"/>
      <c r="E391" s="771" t="str">
        <f>+B389</f>
        <v>ABA760</v>
      </c>
      <c r="F391" s="334">
        <v>1343</v>
      </c>
      <c r="G391" s="334">
        <v>1373.42</v>
      </c>
    </row>
    <row r="392" spans="1:7">
      <c r="A392" s="319">
        <v>6</v>
      </c>
      <c r="B392" s="319" t="s">
        <v>4194</v>
      </c>
      <c r="C392" s="320" t="s">
        <v>4195</v>
      </c>
      <c r="D392" s="771"/>
      <c r="E392" s="771" t="str">
        <f>+E391</f>
        <v>ABA760</v>
      </c>
      <c r="F392" s="334"/>
      <c r="G392" s="334"/>
    </row>
    <row r="393" spans="1:7">
      <c r="A393" s="322">
        <v>5</v>
      </c>
      <c r="B393" s="322" t="s">
        <v>4196</v>
      </c>
      <c r="C393" s="323" t="s">
        <v>3633</v>
      </c>
      <c r="D393" s="331"/>
      <c r="E393" s="331"/>
      <c r="F393" s="778"/>
      <c r="G393" s="778"/>
    </row>
    <row r="394" spans="1:7">
      <c r="A394" s="319">
        <v>6</v>
      </c>
      <c r="B394" s="319" t="s">
        <v>4197</v>
      </c>
      <c r="C394" s="320" t="s">
        <v>4198</v>
      </c>
      <c r="D394" s="771"/>
      <c r="E394" s="771" t="str">
        <f>+E392</f>
        <v>ABA760</v>
      </c>
      <c r="F394" s="334"/>
      <c r="G394" s="334"/>
    </row>
    <row r="395" spans="1:7">
      <c r="A395" s="319">
        <v>6</v>
      </c>
      <c r="B395" s="319" t="s">
        <v>4199</v>
      </c>
      <c r="C395" s="320" t="s">
        <v>4200</v>
      </c>
      <c r="D395" s="771"/>
      <c r="E395" s="771" t="str">
        <f>+E392</f>
        <v>ABA760</v>
      </c>
      <c r="F395" s="334"/>
      <c r="G395" s="334"/>
    </row>
    <row r="396" spans="1:7">
      <c r="A396" s="767" t="s">
        <v>1965</v>
      </c>
      <c r="B396" s="317" t="s">
        <v>3178</v>
      </c>
      <c r="C396" s="317" t="s">
        <v>3179</v>
      </c>
      <c r="D396" s="328"/>
      <c r="E396" s="328"/>
      <c r="F396" s="333"/>
      <c r="G396" s="333"/>
    </row>
    <row r="397" spans="1:7">
      <c r="A397" s="319">
        <v>5</v>
      </c>
      <c r="B397" s="319" t="s">
        <v>4201</v>
      </c>
      <c r="C397" s="320" t="s">
        <v>3634</v>
      </c>
      <c r="D397" s="771"/>
      <c r="E397" s="771" t="str">
        <f>+B396</f>
        <v>ABA770</v>
      </c>
      <c r="F397" s="334">
        <v>38997986.549999997</v>
      </c>
      <c r="G397" s="334">
        <v>32807352.829999998</v>
      </c>
    </row>
    <row r="398" spans="1:7">
      <c r="A398" s="319">
        <v>5</v>
      </c>
      <c r="B398" s="319" t="s">
        <v>4202</v>
      </c>
      <c r="C398" s="320" t="s">
        <v>4203</v>
      </c>
      <c r="D398" s="771"/>
      <c r="E398" s="771" t="str">
        <f>+E397</f>
        <v>ABA770</v>
      </c>
      <c r="F398" s="334"/>
      <c r="G398" s="334">
        <v>0</v>
      </c>
    </row>
    <row r="399" spans="1:7">
      <c r="A399" s="319">
        <v>5</v>
      </c>
      <c r="B399" s="319" t="s">
        <v>4204</v>
      </c>
      <c r="C399" s="320" t="s">
        <v>4205</v>
      </c>
      <c r="D399" s="771"/>
      <c r="E399" s="771" t="str">
        <f>+E398</f>
        <v>ABA770</v>
      </c>
      <c r="F399" s="334"/>
      <c r="G399" s="334">
        <v>0</v>
      </c>
    </row>
    <row r="400" spans="1:7">
      <c r="A400" s="319">
        <v>5</v>
      </c>
      <c r="B400" s="319" t="s">
        <v>4206</v>
      </c>
      <c r="C400" s="320" t="s">
        <v>3635</v>
      </c>
      <c r="D400" s="771"/>
      <c r="E400" s="771" t="str">
        <f>+E399</f>
        <v>ABA770</v>
      </c>
      <c r="F400" s="334"/>
      <c r="G400" s="334"/>
    </row>
    <row r="401" spans="1:7">
      <c r="A401" s="319">
        <v>5</v>
      </c>
      <c r="B401" s="319" t="s">
        <v>4207</v>
      </c>
      <c r="C401" s="320" t="s">
        <v>3636</v>
      </c>
      <c r="D401" s="771"/>
      <c r="E401" s="771" t="str">
        <f>+E400</f>
        <v>ABA770</v>
      </c>
      <c r="F401" s="334"/>
      <c r="G401" s="334"/>
    </row>
    <row r="402" spans="1:7">
      <c r="A402" s="767" t="s">
        <v>1965</v>
      </c>
      <c r="B402" s="317" t="s">
        <v>3180</v>
      </c>
      <c r="C402" s="317" t="s">
        <v>3181</v>
      </c>
      <c r="D402" s="328"/>
      <c r="E402" s="328"/>
      <c r="F402" s="333"/>
      <c r="G402" s="333"/>
    </row>
    <row r="403" spans="1:7">
      <c r="A403" s="319" t="s">
        <v>1967</v>
      </c>
      <c r="B403" s="319" t="s">
        <v>4208</v>
      </c>
      <c r="C403" s="320" t="s">
        <v>2756</v>
      </c>
      <c r="D403" s="771"/>
      <c r="E403" s="771" t="str">
        <f>+B402</f>
        <v>ABA780</v>
      </c>
      <c r="F403" s="334"/>
      <c r="G403" s="334"/>
    </row>
    <row r="404" spans="1:7">
      <c r="A404" s="767" t="s">
        <v>1965</v>
      </c>
      <c r="B404" s="317" t="s">
        <v>3182</v>
      </c>
      <c r="C404" s="317" t="s">
        <v>3183</v>
      </c>
      <c r="D404" s="328"/>
      <c r="E404" s="328"/>
      <c r="F404" s="333"/>
      <c r="G404" s="333"/>
    </row>
    <row r="405" spans="1:7">
      <c r="A405" s="319">
        <v>5</v>
      </c>
      <c r="B405" s="319" t="s">
        <v>4209</v>
      </c>
      <c r="C405" s="320" t="s">
        <v>4210</v>
      </c>
      <c r="D405" s="771"/>
      <c r="E405" s="771" t="str">
        <f>+B404</f>
        <v>ABA790</v>
      </c>
      <c r="F405" s="334"/>
      <c r="G405" s="334"/>
    </row>
    <row r="406" spans="1:7">
      <c r="A406" s="319">
        <v>5</v>
      </c>
      <c r="B406" s="319" t="s">
        <v>4211</v>
      </c>
      <c r="C406" s="320" t="s">
        <v>4212</v>
      </c>
      <c r="D406" s="771"/>
      <c r="E406" s="771" t="str">
        <f>+E405</f>
        <v>ABA790</v>
      </c>
      <c r="F406" s="334"/>
      <c r="G406" s="334"/>
    </row>
    <row r="407" spans="1:7">
      <c r="A407" s="319">
        <v>5</v>
      </c>
      <c r="B407" s="319" t="s">
        <v>4213</v>
      </c>
      <c r="C407" s="320" t="s">
        <v>4214</v>
      </c>
      <c r="D407" s="771"/>
      <c r="E407" s="771" t="str">
        <f>+E406</f>
        <v>ABA790</v>
      </c>
      <c r="F407" s="334"/>
      <c r="G407" s="334"/>
    </row>
    <row r="408" spans="1:7">
      <c r="A408" s="319">
        <v>5</v>
      </c>
      <c r="B408" s="319" t="s">
        <v>4215</v>
      </c>
      <c r="C408" s="320" t="s">
        <v>4216</v>
      </c>
      <c r="D408" s="771"/>
      <c r="E408" s="771" t="str">
        <f>+E407</f>
        <v>ABA790</v>
      </c>
      <c r="F408" s="334"/>
      <c r="G408" s="334"/>
    </row>
    <row r="409" spans="1:7">
      <c r="A409" s="319">
        <v>5</v>
      </c>
      <c r="B409" s="319" t="s">
        <v>4217</v>
      </c>
      <c r="C409" s="320" t="s">
        <v>4218</v>
      </c>
      <c r="D409" s="771"/>
      <c r="E409" s="771" t="str">
        <f>+E408</f>
        <v>ABA790</v>
      </c>
      <c r="F409" s="334"/>
      <c r="G409" s="334"/>
    </row>
    <row r="410" spans="1:7">
      <c r="A410" s="322">
        <v>4</v>
      </c>
      <c r="B410" s="322" t="s">
        <v>4219</v>
      </c>
      <c r="C410" s="323" t="s">
        <v>3637</v>
      </c>
      <c r="D410" s="331"/>
      <c r="E410" s="331"/>
      <c r="F410" s="778"/>
      <c r="G410" s="778"/>
    </row>
    <row r="411" spans="1:7">
      <c r="A411" s="319">
        <v>5</v>
      </c>
      <c r="B411" s="319" t="s">
        <v>4220</v>
      </c>
      <c r="C411" s="320" t="s">
        <v>3638</v>
      </c>
      <c r="D411" s="771"/>
      <c r="E411" s="771" t="str">
        <f>+B404</f>
        <v>ABA790</v>
      </c>
      <c r="F411" s="334"/>
      <c r="G411" s="334">
        <v>0</v>
      </c>
    </row>
    <row r="412" spans="1:7">
      <c r="A412" s="319">
        <v>5</v>
      </c>
      <c r="B412" s="319" t="s">
        <v>4221</v>
      </c>
      <c r="C412" s="320" t="s">
        <v>3639</v>
      </c>
      <c r="D412" s="771"/>
      <c r="E412" s="771" t="str">
        <f>+E411</f>
        <v>ABA790</v>
      </c>
      <c r="F412" s="334"/>
      <c r="G412" s="334">
        <v>0</v>
      </c>
    </row>
    <row r="413" spans="1:7">
      <c r="A413" s="319">
        <v>5</v>
      </c>
      <c r="B413" s="319" t="s">
        <v>4222</v>
      </c>
      <c r="C413" s="320" t="s">
        <v>3640</v>
      </c>
      <c r="D413" s="771"/>
      <c r="E413" s="771" t="str">
        <f t="shared" ref="E413:E422" si="3">+E412</f>
        <v>ABA790</v>
      </c>
      <c r="F413" s="334"/>
      <c r="G413" s="334">
        <v>0</v>
      </c>
    </row>
    <row r="414" spans="1:7">
      <c r="A414" s="319">
        <v>5</v>
      </c>
      <c r="B414" s="319" t="s">
        <v>4223</v>
      </c>
      <c r="C414" s="320" t="s">
        <v>3641</v>
      </c>
      <c r="D414" s="771"/>
      <c r="E414" s="771" t="str">
        <f t="shared" si="3"/>
        <v>ABA790</v>
      </c>
      <c r="F414" s="334"/>
      <c r="G414" s="334"/>
    </row>
    <row r="415" spans="1:7">
      <c r="A415" s="319">
        <v>5</v>
      </c>
      <c r="B415" s="319" t="s">
        <v>4224</v>
      </c>
      <c r="C415" s="320" t="s">
        <v>3642</v>
      </c>
      <c r="D415" s="771"/>
      <c r="E415" s="771" t="str">
        <f t="shared" si="3"/>
        <v>ABA790</v>
      </c>
      <c r="F415" s="334"/>
      <c r="G415" s="334">
        <v>0</v>
      </c>
    </row>
    <row r="416" spans="1:7">
      <c r="A416" s="319">
        <v>5</v>
      </c>
      <c r="B416" s="319" t="s">
        <v>4225</v>
      </c>
      <c r="C416" s="320" t="s">
        <v>3643</v>
      </c>
      <c r="D416" s="771"/>
      <c r="E416" s="771" t="str">
        <f t="shared" si="3"/>
        <v>ABA790</v>
      </c>
      <c r="F416" s="334"/>
      <c r="G416" s="334">
        <v>0</v>
      </c>
    </row>
    <row r="417" spans="1:7">
      <c r="A417" s="319">
        <v>5</v>
      </c>
      <c r="B417" s="319" t="s">
        <v>4226</v>
      </c>
      <c r="C417" s="320" t="s">
        <v>3644</v>
      </c>
      <c r="D417" s="771"/>
      <c r="E417" s="771" t="str">
        <f t="shared" si="3"/>
        <v>ABA790</v>
      </c>
      <c r="F417" s="334"/>
      <c r="G417" s="334"/>
    </row>
    <row r="418" spans="1:7">
      <c r="A418" s="319">
        <v>5</v>
      </c>
      <c r="B418" s="319" t="s">
        <v>4227</v>
      </c>
      <c r="C418" s="320" t="s">
        <v>3645</v>
      </c>
      <c r="D418" s="771"/>
      <c r="E418" s="771" t="str">
        <f t="shared" si="3"/>
        <v>ABA790</v>
      </c>
      <c r="F418" s="334"/>
      <c r="G418" s="334">
        <v>0</v>
      </c>
    </row>
    <row r="419" spans="1:7">
      <c r="A419" s="319">
        <v>5</v>
      </c>
      <c r="B419" s="319" t="s">
        <v>4228</v>
      </c>
      <c r="C419" s="320" t="s">
        <v>3646</v>
      </c>
      <c r="D419" s="771"/>
      <c r="E419" s="771" t="str">
        <f t="shared" si="3"/>
        <v>ABA790</v>
      </c>
      <c r="F419" s="334"/>
      <c r="G419" s="334">
        <v>0</v>
      </c>
    </row>
    <row r="420" spans="1:7">
      <c r="A420" s="319">
        <v>5</v>
      </c>
      <c r="B420" s="319" t="s">
        <v>4229</v>
      </c>
      <c r="C420" s="320" t="s">
        <v>3647</v>
      </c>
      <c r="D420" s="771"/>
      <c r="E420" s="771" t="str">
        <f t="shared" si="3"/>
        <v>ABA790</v>
      </c>
      <c r="F420" s="334"/>
      <c r="G420" s="334"/>
    </row>
    <row r="421" spans="1:7">
      <c r="A421" s="319">
        <v>5</v>
      </c>
      <c r="B421" s="319" t="s">
        <v>4230</v>
      </c>
      <c r="C421" s="320" t="s">
        <v>3648</v>
      </c>
      <c r="D421" s="771"/>
      <c r="E421" s="771" t="str">
        <f t="shared" si="3"/>
        <v>ABA790</v>
      </c>
      <c r="F421" s="334"/>
      <c r="G421" s="334">
        <v>0</v>
      </c>
    </row>
    <row r="422" spans="1:7">
      <c r="A422" s="319">
        <v>5</v>
      </c>
      <c r="B422" s="319" t="s">
        <v>4231</v>
      </c>
      <c r="C422" s="320" t="s">
        <v>3649</v>
      </c>
      <c r="D422" s="771"/>
      <c r="E422" s="771" t="str">
        <f t="shared" si="3"/>
        <v>ABA790</v>
      </c>
      <c r="F422" s="334"/>
      <c r="G422" s="334"/>
    </row>
    <row r="423" spans="1:7">
      <c r="A423" s="767" t="s">
        <v>1960</v>
      </c>
      <c r="B423" s="317" t="s">
        <v>3184</v>
      </c>
      <c r="C423" s="317" t="s">
        <v>3185</v>
      </c>
      <c r="D423" s="328"/>
      <c r="E423" s="328"/>
      <c r="F423" s="333"/>
      <c r="G423" s="333"/>
    </row>
    <row r="424" spans="1:7">
      <c r="A424" s="767" t="s">
        <v>1963</v>
      </c>
      <c r="B424" s="317" t="s">
        <v>3186</v>
      </c>
      <c r="C424" s="317" t="s">
        <v>3187</v>
      </c>
      <c r="D424" s="328"/>
      <c r="E424" s="328"/>
      <c r="F424" s="333"/>
      <c r="G424" s="333"/>
    </row>
    <row r="425" spans="1:7">
      <c r="A425" s="767" t="s">
        <v>1965</v>
      </c>
      <c r="B425" s="317" t="s">
        <v>3188</v>
      </c>
      <c r="C425" s="317" t="s">
        <v>3189</v>
      </c>
      <c r="D425" s="328"/>
      <c r="E425" s="328"/>
      <c r="F425" s="333"/>
      <c r="G425" s="333"/>
    </row>
    <row r="426" spans="1:7">
      <c r="A426" s="319" t="s">
        <v>1967</v>
      </c>
      <c r="B426" s="319" t="s">
        <v>4232</v>
      </c>
      <c r="C426" s="320" t="s">
        <v>2760</v>
      </c>
      <c r="D426" s="771"/>
      <c r="E426" s="771" t="str">
        <f>+B425</f>
        <v>ACA010</v>
      </c>
      <c r="F426" s="334"/>
      <c r="G426" s="334"/>
    </row>
    <row r="427" spans="1:7">
      <c r="A427" s="767" t="s">
        <v>1965</v>
      </c>
      <c r="B427" s="317" t="s">
        <v>3190</v>
      </c>
      <c r="C427" s="317" t="s">
        <v>3191</v>
      </c>
      <c r="D427" s="328" t="s">
        <v>1248</v>
      </c>
      <c r="E427" s="328"/>
      <c r="F427" s="333"/>
      <c r="G427" s="333"/>
    </row>
    <row r="428" spans="1:7">
      <c r="A428" s="319" t="s">
        <v>1967</v>
      </c>
      <c r="B428" s="319" t="s">
        <v>4233</v>
      </c>
      <c r="C428" s="320" t="s">
        <v>3650</v>
      </c>
      <c r="D428" s="771" t="s">
        <v>1248</v>
      </c>
      <c r="E428" s="771" t="str">
        <f>+B427</f>
        <v>ACA020</v>
      </c>
      <c r="F428" s="334"/>
      <c r="G428" s="334"/>
    </row>
    <row r="429" spans="1:7">
      <c r="A429" s="767" t="s">
        <v>1963</v>
      </c>
      <c r="B429" s="317" t="s">
        <v>3192</v>
      </c>
      <c r="C429" s="317" t="s">
        <v>3193</v>
      </c>
      <c r="D429" s="328"/>
      <c r="E429" s="328"/>
      <c r="F429" s="333"/>
      <c r="G429" s="333"/>
    </row>
    <row r="430" spans="1:7">
      <c r="A430" s="767" t="s">
        <v>1965</v>
      </c>
      <c r="B430" s="317" t="s">
        <v>3194</v>
      </c>
      <c r="C430" s="317" t="s">
        <v>3195</v>
      </c>
      <c r="D430" s="328"/>
      <c r="E430" s="328"/>
      <c r="F430" s="333"/>
      <c r="G430" s="333"/>
    </row>
    <row r="431" spans="1:7">
      <c r="A431" s="319" t="s">
        <v>1967</v>
      </c>
      <c r="B431" s="319" t="s">
        <v>4234</v>
      </c>
      <c r="C431" s="320" t="s">
        <v>2761</v>
      </c>
      <c r="D431" s="771"/>
      <c r="E431" s="771" t="str">
        <f>+B430</f>
        <v>ACA040</v>
      </c>
      <c r="F431" s="334">
        <v>663555.41</v>
      </c>
      <c r="G431" s="334">
        <v>1841598.81</v>
      </c>
    </row>
    <row r="432" spans="1:7">
      <c r="A432" s="767" t="s">
        <v>1965</v>
      </c>
      <c r="B432" s="317" t="s">
        <v>3196</v>
      </c>
      <c r="C432" s="317" t="s">
        <v>3197</v>
      </c>
      <c r="D432" s="328" t="s">
        <v>1248</v>
      </c>
      <c r="E432" s="328"/>
      <c r="F432" s="333"/>
      <c r="G432" s="333"/>
    </row>
    <row r="433" spans="1:7">
      <c r="A433" s="319" t="s">
        <v>1967</v>
      </c>
      <c r="B433" s="319" t="s">
        <v>4235</v>
      </c>
      <c r="C433" s="320" t="s">
        <v>3651</v>
      </c>
      <c r="D433" s="771" t="s">
        <v>1248</v>
      </c>
      <c r="E433" s="771" t="str">
        <f>+B432</f>
        <v>ACA050</v>
      </c>
      <c r="F433" s="334"/>
      <c r="G433" s="334"/>
    </row>
    <row r="434" spans="1:7" s="338" customFormat="1">
      <c r="A434" s="776" t="s">
        <v>1960</v>
      </c>
      <c r="B434" s="779" t="s">
        <v>3198</v>
      </c>
      <c r="C434" s="779" t="s">
        <v>3199</v>
      </c>
      <c r="D434" s="780"/>
      <c r="E434" s="780"/>
      <c r="F434" s="781">
        <f>SUM(F7:F433)</f>
        <v>243721454.91</v>
      </c>
      <c r="G434" s="781">
        <v>249702444.94999993</v>
      </c>
    </row>
    <row r="435" spans="1:7">
      <c r="A435" s="767" t="s">
        <v>1960</v>
      </c>
      <c r="B435" s="317" t="s">
        <v>3200</v>
      </c>
      <c r="C435" s="317" t="s">
        <v>3201</v>
      </c>
      <c r="D435" s="328"/>
      <c r="E435" s="328"/>
      <c r="F435" s="333"/>
      <c r="G435" s="333"/>
    </row>
    <row r="436" spans="1:7">
      <c r="A436" s="767" t="s">
        <v>1963</v>
      </c>
      <c r="B436" s="317" t="s">
        <v>3202</v>
      </c>
      <c r="C436" s="317" t="s">
        <v>3203</v>
      </c>
      <c r="D436" s="328"/>
      <c r="E436" s="328"/>
      <c r="F436" s="333"/>
      <c r="G436" s="333"/>
    </row>
    <row r="437" spans="1:7">
      <c r="A437" s="319" t="s">
        <v>1965</v>
      </c>
      <c r="B437" s="319" t="s">
        <v>4236</v>
      </c>
      <c r="C437" s="320" t="s">
        <v>4237</v>
      </c>
      <c r="D437" s="771"/>
      <c r="E437" s="771" t="str">
        <f>+B436</f>
        <v>ADA000</v>
      </c>
      <c r="F437" s="334"/>
      <c r="G437" s="334"/>
    </row>
    <row r="438" spans="1:7">
      <c r="A438" s="767" t="s">
        <v>1963</v>
      </c>
      <c r="B438" s="317" t="s">
        <v>3204</v>
      </c>
      <c r="C438" s="317" t="s">
        <v>3205</v>
      </c>
      <c r="D438" s="328"/>
      <c r="E438" s="328"/>
      <c r="F438" s="333"/>
      <c r="G438" s="333"/>
    </row>
    <row r="439" spans="1:7">
      <c r="A439" s="319" t="s">
        <v>1965</v>
      </c>
      <c r="B439" s="319" t="s">
        <v>4238</v>
      </c>
      <c r="C439" s="320" t="s">
        <v>4239</v>
      </c>
      <c r="D439" s="771"/>
      <c r="E439" s="771" t="str">
        <f>+B438</f>
        <v>ADA010</v>
      </c>
      <c r="F439" s="334"/>
      <c r="G439" s="334"/>
    </row>
    <row r="440" spans="1:7">
      <c r="A440" s="767" t="s">
        <v>1963</v>
      </c>
      <c r="B440" s="317" t="s">
        <v>3206</v>
      </c>
      <c r="C440" s="317" t="s">
        <v>3207</v>
      </c>
      <c r="D440" s="328"/>
      <c r="E440" s="328"/>
      <c r="F440" s="333"/>
      <c r="G440" s="333"/>
    </row>
    <row r="441" spans="1:7">
      <c r="A441" s="319" t="s">
        <v>1965</v>
      </c>
      <c r="B441" s="319" t="s">
        <v>4240</v>
      </c>
      <c r="C441" s="320" t="s">
        <v>4241</v>
      </c>
      <c r="D441" s="771"/>
      <c r="E441" s="771" t="str">
        <f>+B440</f>
        <v>ADA020</v>
      </c>
      <c r="F441" s="334">
        <v>347396.87</v>
      </c>
      <c r="G441" s="334">
        <v>347396.87</v>
      </c>
    </row>
    <row r="442" spans="1:7">
      <c r="A442" s="767" t="s">
        <v>1963</v>
      </c>
      <c r="B442" s="317" t="s">
        <v>3208</v>
      </c>
      <c r="C442" s="317" t="s">
        <v>3209</v>
      </c>
      <c r="D442" s="328"/>
      <c r="E442" s="328"/>
      <c r="F442" s="333"/>
      <c r="G442" s="333"/>
    </row>
    <row r="443" spans="1:7">
      <c r="A443" s="319" t="s">
        <v>1965</v>
      </c>
      <c r="B443" s="319" t="s">
        <v>4242</v>
      </c>
      <c r="C443" s="320" t="s">
        <v>4243</v>
      </c>
      <c r="D443" s="771"/>
      <c r="E443" s="771" t="str">
        <f>+B442</f>
        <v>ADA021</v>
      </c>
      <c r="F443" s="334"/>
      <c r="G443" s="334"/>
    </row>
    <row r="444" spans="1:7">
      <c r="A444" s="767" t="s">
        <v>1963</v>
      </c>
      <c r="B444" s="317" t="s">
        <v>3210</v>
      </c>
      <c r="C444" s="317" t="s">
        <v>3211</v>
      </c>
      <c r="D444" s="328"/>
      <c r="E444" s="328"/>
      <c r="F444" s="333"/>
      <c r="G444" s="333"/>
    </row>
    <row r="445" spans="1:7">
      <c r="A445" s="319">
        <v>4</v>
      </c>
      <c r="B445" s="319" t="s">
        <v>4244</v>
      </c>
      <c r="C445" s="320" t="s">
        <v>4245</v>
      </c>
      <c r="D445" s="771"/>
      <c r="E445" s="771" t="str">
        <f>+B444</f>
        <v>ADA030</v>
      </c>
      <c r="F445" s="334"/>
      <c r="G445" s="334"/>
    </row>
    <row r="446" spans="1:7" ht="24">
      <c r="A446" s="319">
        <v>4</v>
      </c>
      <c r="B446" s="319" t="s">
        <v>4246</v>
      </c>
      <c r="C446" s="320" t="s">
        <v>4247</v>
      </c>
      <c r="D446" s="771"/>
      <c r="E446" s="771" t="str">
        <f>+E445</f>
        <v>ADA030</v>
      </c>
      <c r="F446" s="334"/>
      <c r="G446" s="334"/>
    </row>
    <row r="447" spans="1:7" ht="24">
      <c r="A447" s="319">
        <v>4</v>
      </c>
      <c r="B447" s="319" t="s">
        <v>4248</v>
      </c>
      <c r="C447" s="320" t="s">
        <v>4249</v>
      </c>
      <c r="D447" s="771"/>
      <c r="E447" s="771" t="str">
        <f t="shared" ref="E447:E449" si="4">+E446</f>
        <v>ADA030</v>
      </c>
      <c r="F447" s="334"/>
      <c r="G447" s="334"/>
    </row>
    <row r="448" spans="1:7">
      <c r="A448" s="319">
        <v>4</v>
      </c>
      <c r="B448" s="319" t="s">
        <v>4250</v>
      </c>
      <c r="C448" s="320" t="s">
        <v>4251</v>
      </c>
      <c r="D448" s="771"/>
      <c r="E448" s="771" t="str">
        <f t="shared" si="4"/>
        <v>ADA030</v>
      </c>
      <c r="F448" s="334"/>
      <c r="G448" s="334"/>
    </row>
    <row r="449" spans="1:7">
      <c r="A449" s="319">
        <v>4</v>
      </c>
      <c r="B449" s="319" t="s">
        <v>4252</v>
      </c>
      <c r="C449" s="320" t="s">
        <v>4253</v>
      </c>
      <c r="D449" s="771"/>
      <c r="E449" s="771" t="str">
        <f t="shared" si="4"/>
        <v>ADA030</v>
      </c>
      <c r="F449" s="334"/>
      <c r="G449" s="334"/>
    </row>
    <row r="450" spans="1:7">
      <c r="F450" s="217">
        <f>+F434-'SP Pas Alim'!F300</f>
        <v>0</v>
      </c>
      <c r="G450" s="217">
        <f>+G434-'SP Pas Alim'!G300</f>
        <v>-3.5998821258544922E-3</v>
      </c>
    </row>
  </sheetData>
  <autoFilter ref="A1:H450"/>
  <conditionalFormatting sqref="C2">
    <cfRule type="duplicateValues" dxfId="5" priority="1"/>
  </conditionalFormatting>
  <conditionalFormatting sqref="C98">
    <cfRule type="duplicateValues" dxfId="4" priority="3"/>
  </conditionalFormatting>
  <conditionalFormatting sqref="C189">
    <cfRule type="duplicateValues" dxfId="3" priority="2"/>
  </conditionalFormatting>
  <conditionalFormatting sqref="C339">
    <cfRule type="duplicateValues" dxfId="2" priority="4"/>
  </conditionalFormatting>
  <conditionalFormatting sqref="C340:C449 C99:C188 C3:C97 C190:C338">
    <cfRule type="duplicateValues" dxfId="1" priority="5"/>
  </conditionalFormatting>
  <pageMargins left="0.70866141732283472" right="0.70866141732283472" top="0.74803149606299213" bottom="0.74803149606299213" header="0.31496062992125984" footer="0.31496062992125984"/>
  <pageSetup paperSize="9" scale="65" fitToHeight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7"/>
  <sheetViews>
    <sheetView workbookViewId="0">
      <pane ySplit="1" topLeftCell="A236" activePane="bottomLeft" state="frozen"/>
      <selection activeCell="H381" sqref="H381"/>
      <selection pane="bottomLeft" activeCell="F48" sqref="F48"/>
    </sheetView>
  </sheetViews>
  <sheetFormatPr defaultRowHeight="12.75"/>
  <cols>
    <col min="1" max="1" width="6.140625" bestFit="1" customWidth="1"/>
    <col min="2" max="2" width="19.28515625" customWidth="1"/>
    <col min="3" max="3" width="74" customWidth="1"/>
    <col min="4" max="4" width="8.42578125" bestFit="1" customWidth="1"/>
    <col min="5" max="5" width="8.42578125" hidden="1" customWidth="1"/>
    <col min="6" max="7" width="20.42578125" style="217" customWidth="1"/>
    <col min="9" max="9" width="14.5703125" bestFit="1" customWidth="1"/>
  </cols>
  <sheetData>
    <row r="1" spans="1:7" ht="26.25" thickBot="1">
      <c r="A1" s="765" t="s">
        <v>120</v>
      </c>
      <c r="B1" s="314" t="s">
        <v>2048</v>
      </c>
      <c r="C1" s="314" t="s">
        <v>121</v>
      </c>
      <c r="D1" s="314" t="s">
        <v>1936</v>
      </c>
      <c r="E1" s="314"/>
      <c r="F1" s="315" t="s">
        <v>3899</v>
      </c>
      <c r="G1" s="315" t="s">
        <v>3478</v>
      </c>
    </row>
    <row r="2" spans="1:7">
      <c r="A2" s="767" t="s">
        <v>1842</v>
      </c>
      <c r="B2" s="768" t="s">
        <v>4254</v>
      </c>
      <c r="C2" s="768" t="s">
        <v>4255</v>
      </c>
      <c r="D2" s="769"/>
      <c r="E2" s="769"/>
      <c r="F2" s="770"/>
      <c r="G2" s="770"/>
    </row>
    <row r="3" spans="1:7">
      <c r="A3" s="767" t="s">
        <v>1960</v>
      </c>
      <c r="B3" s="317" t="s">
        <v>3212</v>
      </c>
      <c r="C3" s="317" t="s">
        <v>3213</v>
      </c>
      <c r="D3" s="328"/>
      <c r="E3" s="328"/>
      <c r="F3" s="333"/>
      <c r="G3" s="333"/>
    </row>
    <row r="4" spans="1:7">
      <c r="A4" s="767" t="s">
        <v>1963</v>
      </c>
      <c r="B4" s="317" t="s">
        <v>3214</v>
      </c>
      <c r="C4" s="317" t="s">
        <v>3215</v>
      </c>
      <c r="D4" s="328"/>
      <c r="E4" s="328"/>
      <c r="F4" s="333"/>
      <c r="G4" s="333"/>
    </row>
    <row r="5" spans="1:7">
      <c r="A5" s="319" t="s">
        <v>1965</v>
      </c>
      <c r="B5" s="319" t="s">
        <v>4256</v>
      </c>
      <c r="C5" s="320" t="s">
        <v>3652</v>
      </c>
      <c r="D5" s="771"/>
      <c r="E5" s="771" t="str">
        <f>+B4</f>
        <v>PAA000</v>
      </c>
      <c r="F5" s="334"/>
      <c r="G5" s="334"/>
    </row>
    <row r="6" spans="1:7">
      <c r="A6" s="767" t="s">
        <v>1963</v>
      </c>
      <c r="B6" s="317" t="s">
        <v>3216</v>
      </c>
      <c r="C6" s="317" t="s">
        <v>3217</v>
      </c>
      <c r="D6" s="328"/>
      <c r="E6" s="328"/>
      <c r="F6" s="333"/>
      <c r="G6" s="333"/>
    </row>
    <row r="7" spans="1:7">
      <c r="A7" s="767" t="s">
        <v>1965</v>
      </c>
      <c r="B7" s="317" t="s">
        <v>3218</v>
      </c>
      <c r="C7" s="317" t="s">
        <v>3219</v>
      </c>
      <c r="D7" s="328"/>
      <c r="E7" s="328"/>
      <c r="F7" s="333"/>
      <c r="G7" s="333"/>
    </row>
    <row r="8" spans="1:7">
      <c r="A8" s="319" t="s">
        <v>1967</v>
      </c>
      <c r="B8" s="319" t="s">
        <v>4257</v>
      </c>
      <c r="C8" s="320" t="s">
        <v>2776</v>
      </c>
      <c r="D8" s="771"/>
      <c r="E8" s="771" t="str">
        <f>+B7</f>
        <v>PAA020</v>
      </c>
      <c r="F8" s="334"/>
      <c r="G8" s="334"/>
    </row>
    <row r="9" spans="1:7">
      <c r="A9" s="767" t="s">
        <v>1965</v>
      </c>
      <c r="B9" s="317" t="s">
        <v>3220</v>
      </c>
      <c r="C9" s="317" t="s">
        <v>3221</v>
      </c>
      <c r="D9" s="328"/>
      <c r="E9" s="328"/>
      <c r="F9" s="333"/>
      <c r="G9" s="333"/>
    </row>
    <row r="10" spans="1:7">
      <c r="A10" s="767" t="s">
        <v>1967</v>
      </c>
      <c r="B10" s="317" t="s">
        <v>3222</v>
      </c>
      <c r="C10" s="317" t="s">
        <v>3223</v>
      </c>
      <c r="D10" s="328"/>
      <c r="E10" s="328"/>
      <c r="F10" s="333"/>
      <c r="G10" s="333"/>
    </row>
    <row r="11" spans="1:7">
      <c r="A11" s="319" t="s">
        <v>1969</v>
      </c>
      <c r="B11" s="319" t="s">
        <v>4258</v>
      </c>
      <c r="C11" s="320" t="s">
        <v>2779</v>
      </c>
      <c r="D11" s="771"/>
      <c r="E11" s="771" t="str">
        <f>+B10</f>
        <v>PAA040</v>
      </c>
      <c r="F11" s="334"/>
      <c r="G11" s="334"/>
    </row>
    <row r="12" spans="1:7">
      <c r="A12" s="767" t="s">
        <v>1967</v>
      </c>
      <c r="B12" s="317" t="s">
        <v>3224</v>
      </c>
      <c r="C12" s="317" t="s">
        <v>3225</v>
      </c>
      <c r="D12" s="328"/>
      <c r="E12" s="328"/>
      <c r="F12" s="333"/>
      <c r="G12" s="333"/>
    </row>
    <row r="13" spans="1:7">
      <c r="A13" s="319" t="s">
        <v>1969</v>
      </c>
      <c r="B13" s="319" t="s">
        <v>4259</v>
      </c>
      <c r="C13" s="320" t="s">
        <v>3653</v>
      </c>
      <c r="D13" s="771"/>
      <c r="E13" s="771" t="str">
        <f>+B12</f>
        <v>PAA050</v>
      </c>
      <c r="F13" s="334"/>
      <c r="G13" s="334"/>
    </row>
    <row r="14" spans="1:7">
      <c r="A14" s="767" t="s">
        <v>1967</v>
      </c>
      <c r="B14" s="317" t="s">
        <v>3226</v>
      </c>
      <c r="C14" s="317" t="s">
        <v>3227</v>
      </c>
      <c r="D14" s="328"/>
      <c r="E14" s="328"/>
      <c r="F14" s="333"/>
      <c r="G14" s="333"/>
    </row>
    <row r="15" spans="1:7">
      <c r="A15" s="319" t="s">
        <v>1969</v>
      </c>
      <c r="B15" s="319" t="s">
        <v>4260</v>
      </c>
      <c r="C15" s="320" t="s">
        <v>3654</v>
      </c>
      <c r="D15" s="771"/>
      <c r="E15" s="771" t="str">
        <f>+B14</f>
        <v>PAA060</v>
      </c>
      <c r="F15" s="334"/>
      <c r="G15" s="334"/>
    </row>
    <row r="16" spans="1:7">
      <c r="A16" s="767" t="s">
        <v>1965</v>
      </c>
      <c r="B16" s="317" t="s">
        <v>3228</v>
      </c>
      <c r="C16" s="317" t="s">
        <v>3229</v>
      </c>
      <c r="D16" s="328"/>
      <c r="E16" s="328"/>
      <c r="F16" s="333"/>
      <c r="G16" s="333"/>
    </row>
    <row r="17" spans="1:7">
      <c r="A17" s="319">
        <v>5</v>
      </c>
      <c r="B17" s="319" t="s">
        <v>4261</v>
      </c>
      <c r="C17" s="320" t="s">
        <v>3655</v>
      </c>
      <c r="D17" s="771"/>
      <c r="E17" s="771" t="str">
        <f>+B16</f>
        <v>PAA070</v>
      </c>
      <c r="F17" s="334">
        <v>930874.5</v>
      </c>
      <c r="G17" s="334">
        <v>807077.27</v>
      </c>
    </row>
    <row r="18" spans="1:7">
      <c r="A18" s="319">
        <v>5</v>
      </c>
      <c r="B18" s="319" t="s">
        <v>4262</v>
      </c>
      <c r="C18" s="320" t="s">
        <v>3656</v>
      </c>
      <c r="D18" s="771"/>
      <c r="E18" s="771" t="str">
        <f>+E17</f>
        <v>PAA070</v>
      </c>
      <c r="F18" s="334">
        <v>11760677.33</v>
      </c>
      <c r="G18" s="334"/>
    </row>
    <row r="19" spans="1:7">
      <c r="A19" s="767" t="s">
        <v>1965</v>
      </c>
      <c r="B19" s="317" t="s">
        <v>3230</v>
      </c>
      <c r="C19" s="317" t="s">
        <v>3231</v>
      </c>
      <c r="D19" s="328"/>
      <c r="E19" s="328"/>
      <c r="F19" s="333"/>
      <c r="G19" s="333"/>
    </row>
    <row r="20" spans="1:7">
      <c r="A20" s="319">
        <v>5</v>
      </c>
      <c r="B20" s="319" t="s">
        <v>4263</v>
      </c>
      <c r="C20" s="320" t="s">
        <v>3657</v>
      </c>
      <c r="D20" s="771"/>
      <c r="E20" s="771" t="str">
        <f>+B19</f>
        <v>PAA080</v>
      </c>
      <c r="F20" s="334"/>
      <c r="G20" s="334"/>
    </row>
    <row r="21" spans="1:7">
      <c r="A21" s="319">
        <v>5</v>
      </c>
      <c r="B21" s="319" t="s">
        <v>4264</v>
      </c>
      <c r="C21" s="320" t="s">
        <v>3658</v>
      </c>
      <c r="D21" s="771"/>
      <c r="E21" s="771" t="str">
        <f>+E20</f>
        <v>PAA080</v>
      </c>
      <c r="F21" s="334">
        <v>1882.46</v>
      </c>
      <c r="G21" s="334">
        <v>1882.46</v>
      </c>
    </row>
    <row r="22" spans="1:7">
      <c r="A22" s="767" t="s">
        <v>1965</v>
      </c>
      <c r="B22" s="317" t="s">
        <v>3232</v>
      </c>
      <c r="C22" s="317" t="s">
        <v>3233</v>
      </c>
      <c r="D22" s="328"/>
      <c r="E22" s="328"/>
      <c r="F22" s="333"/>
      <c r="G22" s="333"/>
    </row>
    <row r="23" spans="1:7">
      <c r="A23" s="319" t="s">
        <v>1967</v>
      </c>
      <c r="B23" s="319" t="s">
        <v>4265</v>
      </c>
      <c r="C23" s="320" t="s">
        <v>2785</v>
      </c>
      <c r="D23" s="771"/>
      <c r="E23" s="771" t="str">
        <f>+B22</f>
        <v>PAA090</v>
      </c>
      <c r="F23" s="334"/>
      <c r="G23" s="334"/>
    </row>
    <row r="24" spans="1:7">
      <c r="A24" s="767" t="s">
        <v>1963</v>
      </c>
      <c r="B24" s="317" t="s">
        <v>3234</v>
      </c>
      <c r="C24" s="317" t="s">
        <v>3235</v>
      </c>
      <c r="D24" s="328"/>
      <c r="E24" s="328"/>
      <c r="F24" s="333"/>
      <c r="G24" s="333"/>
    </row>
    <row r="25" spans="1:7">
      <c r="A25" s="319" t="s">
        <v>1965</v>
      </c>
      <c r="B25" s="319" t="s">
        <v>4266</v>
      </c>
      <c r="C25" s="320" t="s">
        <v>3659</v>
      </c>
      <c r="D25" s="771"/>
      <c r="E25" s="771" t="str">
        <f>+B24</f>
        <v>PAA100</v>
      </c>
      <c r="F25" s="334"/>
      <c r="G25" s="334"/>
    </row>
    <row r="26" spans="1:7">
      <c r="A26" s="767" t="s">
        <v>1963</v>
      </c>
      <c r="B26" s="317" t="s">
        <v>3236</v>
      </c>
      <c r="C26" s="317" t="s">
        <v>3237</v>
      </c>
      <c r="D26" s="328"/>
      <c r="E26" s="328"/>
      <c r="F26" s="333"/>
      <c r="G26" s="333"/>
    </row>
    <row r="27" spans="1:7">
      <c r="A27" s="767" t="s">
        <v>1965</v>
      </c>
      <c r="B27" s="317" t="s">
        <v>3238</v>
      </c>
      <c r="C27" s="317" t="s">
        <v>3239</v>
      </c>
      <c r="D27" s="328"/>
      <c r="E27" s="328"/>
      <c r="F27" s="333"/>
      <c r="G27" s="333"/>
    </row>
    <row r="28" spans="1:7">
      <c r="A28" s="319" t="s">
        <v>1967</v>
      </c>
      <c r="B28" s="319" t="s">
        <v>4267</v>
      </c>
      <c r="C28" s="320" t="s">
        <v>3660</v>
      </c>
      <c r="D28" s="771"/>
      <c r="E28" s="771" t="str">
        <f>+B27</f>
        <v>PAA120</v>
      </c>
      <c r="F28" s="334"/>
      <c r="G28" s="334"/>
    </row>
    <row r="29" spans="1:7">
      <c r="A29" s="767" t="s">
        <v>1965</v>
      </c>
      <c r="B29" s="317" t="s">
        <v>3240</v>
      </c>
      <c r="C29" s="317" t="s">
        <v>3241</v>
      </c>
      <c r="D29" s="328"/>
      <c r="E29" s="328"/>
      <c r="F29" s="333"/>
      <c r="G29" s="333"/>
    </row>
    <row r="30" spans="1:7">
      <c r="A30" s="319" t="s">
        <v>1967</v>
      </c>
      <c r="B30" s="319" t="s">
        <v>4268</v>
      </c>
      <c r="C30" s="320" t="s">
        <v>3661</v>
      </c>
      <c r="D30" s="771"/>
      <c r="E30" s="771" t="str">
        <f>+B29</f>
        <v>PAA130</v>
      </c>
      <c r="F30" s="334"/>
      <c r="G30" s="334"/>
    </row>
    <row r="31" spans="1:7">
      <c r="A31" s="767" t="s">
        <v>1965</v>
      </c>
      <c r="B31" s="317" t="s">
        <v>3242</v>
      </c>
      <c r="C31" s="317" t="s">
        <v>3243</v>
      </c>
      <c r="D31" s="328"/>
      <c r="E31" s="328"/>
      <c r="F31" s="333"/>
      <c r="G31" s="333"/>
    </row>
    <row r="32" spans="1:7">
      <c r="A32" s="319" t="s">
        <v>1967</v>
      </c>
      <c r="B32" s="319" t="s">
        <v>4269</v>
      </c>
      <c r="C32" s="320" t="s">
        <v>3662</v>
      </c>
      <c r="D32" s="771"/>
      <c r="E32" s="771" t="str">
        <f>+B31</f>
        <v>PAA140</v>
      </c>
      <c r="F32" s="334"/>
      <c r="G32" s="334"/>
    </row>
    <row r="33" spans="1:9">
      <c r="A33" s="767" t="s">
        <v>1965</v>
      </c>
      <c r="B33" s="317" t="s">
        <v>3244</v>
      </c>
      <c r="C33" s="317" t="s">
        <v>3245</v>
      </c>
      <c r="D33" s="328"/>
      <c r="E33" s="328"/>
      <c r="F33" s="333"/>
      <c r="G33" s="333"/>
    </row>
    <row r="34" spans="1:9">
      <c r="A34" s="319" t="s">
        <v>1967</v>
      </c>
      <c r="B34" s="319" t="s">
        <v>4270</v>
      </c>
      <c r="C34" s="320" t="s">
        <v>3663</v>
      </c>
      <c r="D34" s="771"/>
      <c r="E34" s="771" t="str">
        <f>+B33</f>
        <v>PAA150</v>
      </c>
      <c r="F34" s="334">
        <v>6517767.2000000002</v>
      </c>
      <c r="G34" s="334">
        <v>3642805.73</v>
      </c>
      <c r="I34" s="807"/>
    </row>
    <row r="35" spans="1:9">
      <c r="A35" s="767" t="s">
        <v>1965</v>
      </c>
      <c r="B35" s="317" t="s">
        <v>3246</v>
      </c>
      <c r="C35" s="317" t="s">
        <v>3247</v>
      </c>
      <c r="D35" s="328"/>
      <c r="E35" s="328"/>
      <c r="F35" s="333"/>
      <c r="G35" s="333"/>
    </row>
    <row r="36" spans="1:9">
      <c r="A36" s="319" t="s">
        <v>1967</v>
      </c>
      <c r="B36" s="319" t="s">
        <v>4271</v>
      </c>
      <c r="C36" s="320" t="s">
        <v>3664</v>
      </c>
      <c r="D36" s="771"/>
      <c r="E36" s="771" t="str">
        <f>+B35</f>
        <v>PAA160</v>
      </c>
      <c r="F36" s="334">
        <v>13931.15</v>
      </c>
      <c r="G36" s="334">
        <v>13931.15</v>
      </c>
    </row>
    <row r="37" spans="1:9">
      <c r="A37" s="767" t="s">
        <v>1963</v>
      </c>
      <c r="B37" s="317" t="s">
        <v>3248</v>
      </c>
      <c r="C37" s="317" t="s">
        <v>3249</v>
      </c>
      <c r="D37" s="328"/>
      <c r="E37" s="328"/>
      <c r="F37" s="333"/>
      <c r="G37" s="333"/>
    </row>
    <row r="38" spans="1:9">
      <c r="A38" s="767" t="s">
        <v>1965</v>
      </c>
      <c r="B38" s="317" t="s">
        <v>3250</v>
      </c>
      <c r="C38" s="317" t="s">
        <v>3251</v>
      </c>
      <c r="D38" s="328"/>
      <c r="E38" s="328"/>
      <c r="F38" s="333"/>
      <c r="G38" s="333"/>
    </row>
    <row r="39" spans="1:9">
      <c r="A39" s="319">
        <v>5</v>
      </c>
      <c r="B39" s="319" t="s">
        <v>4272</v>
      </c>
      <c r="C39" s="320" t="s">
        <v>3665</v>
      </c>
      <c r="D39" s="771"/>
      <c r="E39" s="771" t="str">
        <f>+B38</f>
        <v>PAA180</v>
      </c>
      <c r="F39" s="334"/>
      <c r="G39" s="334"/>
    </row>
    <row r="40" spans="1:9">
      <c r="A40" s="767" t="s">
        <v>1965</v>
      </c>
      <c r="B40" s="317" t="s">
        <v>3252</v>
      </c>
      <c r="C40" s="317" t="s">
        <v>3253</v>
      </c>
      <c r="D40" s="328"/>
      <c r="E40" s="328"/>
      <c r="F40" s="333"/>
      <c r="G40" s="333"/>
    </row>
    <row r="41" spans="1:9">
      <c r="A41" s="319" t="s">
        <v>1967</v>
      </c>
      <c r="B41" s="319" t="s">
        <v>4273</v>
      </c>
      <c r="C41" s="320" t="s">
        <v>4274</v>
      </c>
      <c r="D41" s="771"/>
      <c r="E41" s="771" t="str">
        <f>+B40</f>
        <v>PAA190</v>
      </c>
      <c r="F41" s="334"/>
      <c r="G41" s="334"/>
    </row>
    <row r="42" spans="1:9">
      <c r="A42" s="767" t="s">
        <v>1965</v>
      </c>
      <c r="B42" s="317" t="s">
        <v>3254</v>
      </c>
      <c r="C42" s="317" t="s">
        <v>3255</v>
      </c>
      <c r="D42" s="328"/>
      <c r="E42" s="328"/>
      <c r="F42" s="333"/>
      <c r="G42" s="333"/>
    </row>
    <row r="43" spans="1:9">
      <c r="A43" s="319" t="s">
        <v>1967</v>
      </c>
      <c r="B43" s="319" t="s">
        <v>4275</v>
      </c>
      <c r="C43" s="320" t="s">
        <v>3666</v>
      </c>
      <c r="D43" s="771"/>
      <c r="E43" s="771" t="str">
        <f>+B42</f>
        <v>PAA200</v>
      </c>
      <c r="F43" s="334"/>
      <c r="G43" s="334"/>
    </row>
    <row r="44" spans="1:9">
      <c r="A44" s="767" t="s">
        <v>1963</v>
      </c>
      <c r="B44" s="317" t="s">
        <v>3256</v>
      </c>
      <c r="C44" s="317" t="s">
        <v>3257</v>
      </c>
      <c r="D44" s="328"/>
      <c r="E44" s="328"/>
      <c r="F44" s="333"/>
      <c r="G44" s="333"/>
    </row>
    <row r="45" spans="1:9">
      <c r="A45" s="319" t="s">
        <v>1965</v>
      </c>
      <c r="B45" s="319" t="s">
        <v>4276</v>
      </c>
      <c r="C45" s="320" t="s">
        <v>3667</v>
      </c>
      <c r="D45" s="771"/>
      <c r="E45" s="771" t="str">
        <f>+B44</f>
        <v>PAA210</v>
      </c>
      <c r="F45" s="334">
        <v>0</v>
      </c>
      <c r="G45" s="334">
        <v>0</v>
      </c>
    </row>
    <row r="46" spans="1:9">
      <c r="A46" s="767" t="s">
        <v>1963</v>
      </c>
      <c r="B46" s="317" t="s">
        <v>3258</v>
      </c>
      <c r="C46" s="317" t="s">
        <v>3259</v>
      </c>
      <c r="D46" s="328"/>
      <c r="E46" s="328"/>
      <c r="F46" s="333"/>
      <c r="G46" s="333"/>
    </row>
    <row r="47" spans="1:9">
      <c r="A47" s="319" t="s">
        <v>1965</v>
      </c>
      <c r="B47" s="319" t="s">
        <v>4277</v>
      </c>
      <c r="C47" s="320" t="s">
        <v>3668</v>
      </c>
      <c r="D47" s="771"/>
      <c r="E47" s="771" t="str">
        <f>+B46</f>
        <v>PAA220</v>
      </c>
      <c r="F47" s="334">
        <f>+'Alim CE Ricavi'!E391</f>
        <v>959354.73000013828</v>
      </c>
      <c r="G47" s="334">
        <v>2874961.4699999094</v>
      </c>
    </row>
    <row r="48" spans="1:9">
      <c r="A48" s="767" t="s">
        <v>1960</v>
      </c>
      <c r="B48" s="317" t="s">
        <v>3260</v>
      </c>
      <c r="C48" s="317" t="s">
        <v>3261</v>
      </c>
      <c r="D48" s="328"/>
      <c r="E48" s="328"/>
      <c r="F48" s="333"/>
      <c r="G48" s="333"/>
    </row>
    <row r="49" spans="1:9">
      <c r="A49" s="767" t="s">
        <v>1963</v>
      </c>
      <c r="B49" s="317" t="s">
        <v>3262</v>
      </c>
      <c r="C49" s="317" t="s">
        <v>3263</v>
      </c>
      <c r="D49" s="328"/>
      <c r="E49" s="328"/>
      <c r="F49" s="333"/>
      <c r="G49" s="333"/>
    </row>
    <row r="50" spans="1:9">
      <c r="A50" s="319" t="s">
        <v>1965</v>
      </c>
      <c r="B50" s="319" t="s">
        <v>4278</v>
      </c>
      <c r="C50" s="320" t="s">
        <v>3669</v>
      </c>
      <c r="D50" s="771"/>
      <c r="E50" s="771" t="str">
        <f>+B49</f>
        <v>PBA000</v>
      </c>
      <c r="F50" s="334"/>
      <c r="G50" s="334"/>
    </row>
    <row r="51" spans="1:9">
      <c r="A51" s="767" t="s">
        <v>1963</v>
      </c>
      <c r="B51" s="317" t="s">
        <v>3264</v>
      </c>
      <c r="C51" s="317" t="s">
        <v>3265</v>
      </c>
      <c r="D51" s="328"/>
      <c r="E51" s="328"/>
      <c r="F51" s="333"/>
      <c r="G51" s="333"/>
    </row>
    <row r="52" spans="1:9">
      <c r="A52" s="767" t="s">
        <v>1965</v>
      </c>
      <c r="B52" s="317" t="s">
        <v>3266</v>
      </c>
      <c r="C52" s="317" t="s">
        <v>3267</v>
      </c>
      <c r="D52" s="328"/>
      <c r="E52" s="328"/>
      <c r="F52" s="333"/>
      <c r="G52" s="333"/>
    </row>
    <row r="53" spans="1:9">
      <c r="A53" s="319" t="s">
        <v>1967</v>
      </c>
      <c r="B53" s="319" t="s">
        <v>4279</v>
      </c>
      <c r="C53" s="320" t="s">
        <v>3670</v>
      </c>
      <c r="D53" s="771"/>
      <c r="E53" s="771" t="str">
        <f>+B52</f>
        <v>PBA020</v>
      </c>
      <c r="F53" s="334">
        <v>97531.72</v>
      </c>
      <c r="G53" s="334">
        <v>92391</v>
      </c>
    </row>
    <row r="54" spans="1:9">
      <c r="A54" s="767" t="s">
        <v>1965</v>
      </c>
      <c r="B54" s="317" t="s">
        <v>3268</v>
      </c>
      <c r="C54" s="317" t="s">
        <v>3269</v>
      </c>
      <c r="D54" s="328"/>
      <c r="E54" s="328"/>
      <c r="F54" s="333"/>
      <c r="G54" s="333"/>
    </row>
    <row r="55" spans="1:9">
      <c r="A55" s="319" t="s">
        <v>1967</v>
      </c>
      <c r="B55" s="319" t="s">
        <v>4280</v>
      </c>
      <c r="C55" s="320" t="s">
        <v>3671</v>
      </c>
      <c r="D55" s="771"/>
      <c r="E55" s="771" t="str">
        <f>+B54</f>
        <v>PBA030</v>
      </c>
      <c r="F55" s="334"/>
      <c r="G55" s="334"/>
    </row>
    <row r="56" spans="1:9">
      <c r="A56" s="767" t="s">
        <v>1965</v>
      </c>
      <c r="B56" s="317" t="s">
        <v>3270</v>
      </c>
      <c r="C56" s="317" t="s">
        <v>3271</v>
      </c>
      <c r="D56" s="328"/>
      <c r="E56" s="328"/>
      <c r="F56" s="333"/>
      <c r="G56" s="333"/>
    </row>
    <row r="57" spans="1:9">
      <c r="A57" s="319" t="s">
        <v>1967</v>
      </c>
      <c r="B57" s="319" t="s">
        <v>4281</v>
      </c>
      <c r="C57" s="320" t="s">
        <v>3672</v>
      </c>
      <c r="D57" s="771"/>
      <c r="E57" s="771" t="str">
        <f>+B56</f>
        <v>PBA040</v>
      </c>
      <c r="F57" s="334"/>
      <c r="G57" s="334"/>
    </row>
    <row r="58" spans="1:9">
      <c r="A58" s="767" t="s">
        <v>1965</v>
      </c>
      <c r="B58" s="317" t="s">
        <v>3272</v>
      </c>
      <c r="C58" s="317" t="s">
        <v>3273</v>
      </c>
      <c r="D58" s="328"/>
      <c r="E58" s="328"/>
      <c r="F58" s="333"/>
      <c r="G58" s="333"/>
    </row>
    <row r="59" spans="1:9">
      <c r="A59" s="319" t="s">
        <v>1967</v>
      </c>
      <c r="B59" s="319" t="s">
        <v>4282</v>
      </c>
      <c r="C59" s="320" t="s">
        <v>3673</v>
      </c>
      <c r="D59" s="771"/>
      <c r="E59" s="771" t="str">
        <f>+B58</f>
        <v>PBA050</v>
      </c>
      <c r="F59" s="334"/>
      <c r="G59" s="334"/>
    </row>
    <row r="60" spans="1:9">
      <c r="A60" s="767" t="s">
        <v>1965</v>
      </c>
      <c r="B60" s="317" t="s">
        <v>3274</v>
      </c>
      <c r="C60" s="317" t="s">
        <v>3275</v>
      </c>
      <c r="D60" s="328"/>
      <c r="E60" s="328"/>
      <c r="F60" s="333"/>
      <c r="G60" s="333"/>
    </row>
    <row r="61" spans="1:9">
      <c r="A61" s="319" t="s">
        <v>1967</v>
      </c>
      <c r="B61" s="319" t="s">
        <v>4283</v>
      </c>
      <c r="C61" s="320" t="s">
        <v>3674</v>
      </c>
      <c r="D61" s="771"/>
      <c r="E61" s="771" t="str">
        <f>+B60</f>
        <v>PBA051</v>
      </c>
      <c r="F61" s="334">
        <v>46299630.600000001</v>
      </c>
      <c r="G61" s="334">
        <v>48835650.82</v>
      </c>
    </row>
    <row r="62" spans="1:9">
      <c r="A62" s="767" t="s">
        <v>1965</v>
      </c>
      <c r="B62" s="317" t="s">
        <v>3276</v>
      </c>
      <c r="C62" s="317" t="s">
        <v>3277</v>
      </c>
      <c r="D62" s="328"/>
      <c r="E62" s="328"/>
      <c r="F62" s="333"/>
      <c r="G62" s="333"/>
    </row>
    <row r="63" spans="1:9">
      <c r="A63" s="319" t="s">
        <v>1967</v>
      </c>
      <c r="B63" s="319" t="s">
        <v>4284</v>
      </c>
      <c r="C63" s="320" t="s">
        <v>3675</v>
      </c>
      <c r="D63" s="771"/>
      <c r="E63" s="771" t="str">
        <f>+B62</f>
        <v>PBA052</v>
      </c>
      <c r="F63" s="334">
        <v>930058.45</v>
      </c>
      <c r="G63" s="334">
        <v>1175940.33</v>
      </c>
      <c r="I63" s="807"/>
    </row>
    <row r="64" spans="1:9">
      <c r="A64" s="767" t="s">
        <v>1965</v>
      </c>
      <c r="B64" s="317" t="s">
        <v>3278</v>
      </c>
      <c r="C64" s="317" t="s">
        <v>3279</v>
      </c>
      <c r="D64" s="328"/>
      <c r="E64" s="328"/>
      <c r="F64" s="333"/>
      <c r="G64" s="333"/>
    </row>
    <row r="65" spans="1:7">
      <c r="A65" s="319">
        <v>5</v>
      </c>
      <c r="B65" s="319" t="s">
        <v>4285</v>
      </c>
      <c r="C65" s="320" t="s">
        <v>3676</v>
      </c>
      <c r="D65" s="771"/>
      <c r="E65" s="771" t="str">
        <f>+B64</f>
        <v>PBA060</v>
      </c>
      <c r="F65" s="334"/>
      <c r="G65" s="334"/>
    </row>
    <row r="66" spans="1:7">
      <c r="A66" s="319">
        <v>5</v>
      </c>
      <c r="B66" s="319" t="s">
        <v>4286</v>
      </c>
      <c r="C66" s="320" t="s">
        <v>3677</v>
      </c>
      <c r="D66" s="771"/>
      <c r="E66" s="771" t="str">
        <f>+E65</f>
        <v>PBA060</v>
      </c>
      <c r="F66" s="334"/>
      <c r="G66" s="334"/>
    </row>
    <row r="67" spans="1:7">
      <c r="A67" s="319">
        <v>5</v>
      </c>
      <c r="B67" s="319" t="s">
        <v>4287</v>
      </c>
      <c r="C67" s="320" t="s">
        <v>3678</v>
      </c>
      <c r="D67" s="771"/>
      <c r="E67" s="771" t="str">
        <f>+E66</f>
        <v>PBA060</v>
      </c>
      <c r="F67" s="334"/>
      <c r="G67" s="334"/>
    </row>
    <row r="68" spans="1:7">
      <c r="A68" s="767" t="s">
        <v>1963</v>
      </c>
      <c r="B68" s="317" t="s">
        <v>3280</v>
      </c>
      <c r="C68" s="317" t="s">
        <v>3281</v>
      </c>
      <c r="D68" s="328"/>
      <c r="E68" s="328"/>
      <c r="F68" s="333"/>
      <c r="G68" s="333"/>
    </row>
    <row r="69" spans="1:7">
      <c r="A69" s="767" t="s">
        <v>1965</v>
      </c>
      <c r="B69" s="317" t="s">
        <v>3282</v>
      </c>
      <c r="C69" s="317" t="s">
        <v>3283</v>
      </c>
      <c r="D69" s="328"/>
      <c r="E69" s="328"/>
      <c r="F69" s="333"/>
      <c r="G69" s="333"/>
    </row>
    <row r="70" spans="1:7">
      <c r="A70" s="319" t="s">
        <v>1967</v>
      </c>
      <c r="B70" s="319" t="s">
        <v>4288</v>
      </c>
      <c r="C70" s="320" t="s">
        <v>3679</v>
      </c>
      <c r="D70" s="771"/>
      <c r="E70" s="771" t="str">
        <f>+B69</f>
        <v>PBA080</v>
      </c>
      <c r="F70" s="334"/>
      <c r="G70" s="334"/>
    </row>
    <row r="71" spans="1:7">
      <c r="A71" s="767" t="s">
        <v>1965</v>
      </c>
      <c r="B71" s="317" t="s">
        <v>3284</v>
      </c>
      <c r="C71" s="317" t="s">
        <v>3285</v>
      </c>
      <c r="D71" s="328"/>
      <c r="E71" s="328"/>
      <c r="F71" s="333"/>
      <c r="G71" s="333"/>
    </row>
    <row r="72" spans="1:7">
      <c r="A72" s="319" t="s">
        <v>1967</v>
      </c>
      <c r="B72" s="319" t="s">
        <v>4289</v>
      </c>
      <c r="C72" s="320" t="s">
        <v>3680</v>
      </c>
      <c r="D72" s="771"/>
      <c r="E72" s="771" t="str">
        <f>+B71</f>
        <v>PBA090</v>
      </c>
      <c r="F72" s="334"/>
      <c r="G72" s="334"/>
    </row>
    <row r="73" spans="1:7">
      <c r="A73" s="767" t="s">
        <v>1965</v>
      </c>
      <c r="B73" s="317" t="s">
        <v>3286</v>
      </c>
      <c r="C73" s="317" t="s">
        <v>3287</v>
      </c>
      <c r="D73" s="328"/>
      <c r="E73" s="328"/>
      <c r="F73" s="333"/>
      <c r="G73" s="333"/>
    </row>
    <row r="74" spans="1:7">
      <c r="A74" s="319" t="s">
        <v>1967</v>
      </c>
      <c r="B74" s="319" t="s">
        <v>4290</v>
      </c>
      <c r="C74" s="320" t="s">
        <v>3681</v>
      </c>
      <c r="D74" s="771"/>
      <c r="E74" s="771" t="str">
        <f>+B73</f>
        <v>PBA100</v>
      </c>
      <c r="F74" s="334"/>
      <c r="G74" s="334"/>
    </row>
    <row r="75" spans="1:7">
      <c r="A75" s="767" t="s">
        <v>1965</v>
      </c>
      <c r="B75" s="317" t="s">
        <v>3288</v>
      </c>
      <c r="C75" s="317" t="s">
        <v>3289</v>
      </c>
      <c r="D75" s="328"/>
      <c r="E75" s="328"/>
      <c r="F75" s="333"/>
      <c r="G75" s="333"/>
    </row>
    <row r="76" spans="1:7">
      <c r="A76" s="319" t="s">
        <v>1967</v>
      </c>
      <c r="B76" s="319" t="s">
        <v>4291</v>
      </c>
      <c r="C76" s="320" t="s">
        <v>3682</v>
      </c>
      <c r="D76" s="771"/>
      <c r="E76" s="771" t="str">
        <f>+B75</f>
        <v>PBA110</v>
      </c>
      <c r="F76" s="334"/>
      <c r="G76" s="334"/>
    </row>
    <row r="77" spans="1:7">
      <c r="A77" s="767" t="s">
        <v>1965</v>
      </c>
      <c r="B77" s="317" t="s">
        <v>3290</v>
      </c>
      <c r="C77" s="317" t="s">
        <v>3291</v>
      </c>
      <c r="D77" s="328"/>
      <c r="E77" s="328"/>
      <c r="F77" s="333"/>
      <c r="G77" s="333"/>
    </row>
    <row r="78" spans="1:7">
      <c r="A78" s="319" t="s">
        <v>1967</v>
      </c>
      <c r="B78" s="319" t="s">
        <v>4292</v>
      </c>
      <c r="C78" s="320" t="s">
        <v>3683</v>
      </c>
      <c r="D78" s="771"/>
      <c r="E78" s="771" t="str">
        <f>+B77</f>
        <v>PBA120</v>
      </c>
      <c r="F78" s="334"/>
      <c r="G78" s="334"/>
    </row>
    <row r="79" spans="1:7">
      <c r="A79" s="767" t="s">
        <v>1965</v>
      </c>
      <c r="B79" s="317" t="s">
        <v>3292</v>
      </c>
      <c r="C79" s="317" t="s">
        <v>3293</v>
      </c>
      <c r="D79" s="328"/>
      <c r="E79" s="328"/>
      <c r="F79" s="333"/>
      <c r="G79" s="333"/>
    </row>
    <row r="80" spans="1:7">
      <c r="A80" s="319" t="s">
        <v>1967</v>
      </c>
      <c r="B80" s="319" t="s">
        <v>4293</v>
      </c>
      <c r="C80" s="320" t="s">
        <v>3684</v>
      </c>
      <c r="D80" s="771"/>
      <c r="E80" s="771" t="str">
        <f>+B79</f>
        <v>PBA130</v>
      </c>
      <c r="F80" s="334"/>
      <c r="G80" s="334"/>
    </row>
    <row r="81" spans="1:9">
      <c r="A81" s="767" t="s">
        <v>1965</v>
      </c>
      <c r="B81" s="317" t="s">
        <v>3294</v>
      </c>
      <c r="C81" s="317" t="s">
        <v>3295</v>
      </c>
      <c r="D81" s="328"/>
      <c r="E81" s="328"/>
      <c r="F81" s="333"/>
      <c r="G81" s="333"/>
    </row>
    <row r="82" spans="1:9">
      <c r="A82" s="319" t="s">
        <v>1967</v>
      </c>
      <c r="B82" s="319" t="s">
        <v>4294</v>
      </c>
      <c r="C82" s="320" t="s">
        <v>3685</v>
      </c>
      <c r="D82" s="771"/>
      <c r="E82" s="771" t="str">
        <f>+B81</f>
        <v>PBA140</v>
      </c>
      <c r="F82" s="334"/>
      <c r="G82" s="334"/>
    </row>
    <row r="83" spans="1:9" ht="25.5">
      <c r="A83" s="767" t="s">
        <v>1965</v>
      </c>
      <c r="B83" s="317" t="s">
        <v>3296</v>
      </c>
      <c r="C83" s="317" t="s">
        <v>3297</v>
      </c>
      <c r="D83" s="328"/>
      <c r="E83" s="328"/>
      <c r="F83" s="333"/>
      <c r="G83" s="333"/>
    </row>
    <row r="84" spans="1:9" ht="24">
      <c r="A84" s="319" t="s">
        <v>1967</v>
      </c>
      <c r="B84" s="319" t="s">
        <v>4295</v>
      </c>
      <c r="C84" s="320" t="s">
        <v>3686</v>
      </c>
      <c r="D84" s="771"/>
      <c r="E84" s="771" t="str">
        <f>+B83</f>
        <v>PBA141</v>
      </c>
      <c r="F84" s="334"/>
      <c r="G84" s="334"/>
    </row>
    <row r="85" spans="1:9">
      <c r="A85" s="767" t="s">
        <v>1963</v>
      </c>
      <c r="B85" s="317" t="s">
        <v>3298</v>
      </c>
      <c r="C85" s="317" t="s">
        <v>3299</v>
      </c>
      <c r="D85" s="328"/>
      <c r="E85" s="328"/>
      <c r="F85" s="333"/>
      <c r="G85" s="333"/>
    </row>
    <row r="86" spans="1:9" ht="25.5">
      <c r="A86" s="767" t="s">
        <v>1965</v>
      </c>
      <c r="B86" s="317" t="s">
        <v>3300</v>
      </c>
      <c r="C86" s="317" t="s">
        <v>4296</v>
      </c>
      <c r="D86" s="328"/>
      <c r="E86" s="328"/>
      <c r="F86" s="333"/>
      <c r="G86" s="333"/>
    </row>
    <row r="87" spans="1:9">
      <c r="A87" s="319" t="s">
        <v>1967</v>
      </c>
      <c r="B87" s="319" t="s">
        <v>4297</v>
      </c>
      <c r="C87" s="320" t="s">
        <v>4298</v>
      </c>
      <c r="D87" s="771"/>
      <c r="E87" s="771" t="str">
        <f>+B86</f>
        <v>PBA151</v>
      </c>
      <c r="F87" s="334">
        <v>5139033.76</v>
      </c>
      <c r="G87" s="334">
        <v>16003531.369999999</v>
      </c>
    </row>
    <row r="88" spans="1:9">
      <c r="A88" s="767" t="s">
        <v>1965</v>
      </c>
      <c r="B88" s="317" t="s">
        <v>3302</v>
      </c>
      <c r="C88" s="317" t="s">
        <v>3303</v>
      </c>
      <c r="D88" s="328"/>
      <c r="E88" s="328"/>
      <c r="F88" s="333"/>
      <c r="G88" s="333"/>
    </row>
    <row r="89" spans="1:9">
      <c r="A89" s="319" t="s">
        <v>1967</v>
      </c>
      <c r="B89" s="319" t="s">
        <v>4299</v>
      </c>
      <c r="C89" s="320" t="s">
        <v>3687</v>
      </c>
      <c r="D89" s="771"/>
      <c r="E89" s="771" t="str">
        <f>+B88</f>
        <v>PBA160</v>
      </c>
      <c r="F89" s="334"/>
      <c r="G89" s="334"/>
    </row>
    <row r="90" spans="1:9">
      <c r="A90" s="767" t="s">
        <v>1965</v>
      </c>
      <c r="B90" s="317" t="s">
        <v>3304</v>
      </c>
      <c r="C90" s="317" t="s">
        <v>3305</v>
      </c>
      <c r="D90" s="328"/>
      <c r="E90" s="328"/>
      <c r="F90" s="333"/>
      <c r="G90" s="333"/>
    </row>
    <row r="91" spans="1:9">
      <c r="A91" s="319" t="s">
        <v>1967</v>
      </c>
      <c r="B91" s="319" t="s">
        <v>4300</v>
      </c>
      <c r="C91" s="320" t="s">
        <v>3688</v>
      </c>
      <c r="D91" s="771"/>
      <c r="E91" s="771" t="str">
        <f>+B90</f>
        <v>PBA170</v>
      </c>
      <c r="F91" s="334">
        <v>32897080.34</v>
      </c>
      <c r="G91" s="334">
        <v>2975475.63</v>
      </c>
      <c r="I91" s="808"/>
    </row>
    <row r="92" spans="1:9">
      <c r="A92" s="767" t="s">
        <v>1965</v>
      </c>
      <c r="B92" s="317" t="s">
        <v>3306</v>
      </c>
      <c r="C92" s="317" t="s">
        <v>3307</v>
      </c>
      <c r="D92" s="328"/>
      <c r="E92" s="328"/>
      <c r="F92" s="333"/>
      <c r="G92" s="333"/>
    </row>
    <row r="93" spans="1:9">
      <c r="A93" s="319" t="s">
        <v>1967</v>
      </c>
      <c r="B93" s="319" t="s">
        <v>4301</v>
      </c>
      <c r="C93" s="320" t="s">
        <v>3689</v>
      </c>
      <c r="D93" s="771"/>
      <c r="E93" s="771" t="str">
        <f>+B92</f>
        <v>PBA180</v>
      </c>
      <c r="F93" s="334"/>
      <c r="G93" s="334"/>
    </row>
    <row r="94" spans="1:9">
      <c r="A94" s="767" t="s">
        <v>1965</v>
      </c>
      <c r="B94" s="317" t="s">
        <v>3308</v>
      </c>
      <c r="C94" s="317" t="s">
        <v>3309</v>
      </c>
      <c r="D94" s="328"/>
      <c r="E94" s="328"/>
      <c r="F94" s="333"/>
      <c r="G94" s="333"/>
    </row>
    <row r="95" spans="1:9">
      <c r="A95" s="319">
        <v>5</v>
      </c>
      <c r="B95" s="319" t="s">
        <v>4302</v>
      </c>
      <c r="C95" s="320" t="s">
        <v>3690</v>
      </c>
      <c r="D95" s="771"/>
      <c r="E95" s="771" t="str">
        <f>+B94</f>
        <v>PBA190</v>
      </c>
      <c r="F95" s="334"/>
      <c r="G95" s="334"/>
    </row>
    <row r="96" spans="1:9">
      <c r="A96" s="319">
        <v>5</v>
      </c>
      <c r="B96" s="319" t="s">
        <v>4303</v>
      </c>
      <c r="C96" s="320" t="s">
        <v>3691</v>
      </c>
      <c r="D96" s="771"/>
      <c r="E96" s="771" t="str">
        <f>+E95</f>
        <v>PBA190</v>
      </c>
      <c r="F96" s="334">
        <v>289542.05</v>
      </c>
      <c r="G96" s="334">
        <v>182973.47</v>
      </c>
    </row>
    <row r="97" spans="1:9">
      <c r="A97" s="767" t="s">
        <v>1963</v>
      </c>
      <c r="B97" s="317" t="s">
        <v>3310</v>
      </c>
      <c r="C97" s="317" t="s">
        <v>3311</v>
      </c>
      <c r="D97" s="328"/>
      <c r="E97" s="328"/>
      <c r="F97" s="333"/>
      <c r="G97" s="333"/>
    </row>
    <row r="98" spans="1:9">
      <c r="A98" s="767" t="s">
        <v>1965</v>
      </c>
      <c r="B98" s="317" t="s">
        <v>3312</v>
      </c>
      <c r="C98" s="317" t="s">
        <v>3313</v>
      </c>
      <c r="D98" s="328"/>
      <c r="E98" s="328"/>
      <c r="F98" s="333"/>
      <c r="G98" s="333"/>
    </row>
    <row r="99" spans="1:9">
      <c r="A99" s="319" t="s">
        <v>1967</v>
      </c>
      <c r="B99" s="319" t="s">
        <v>4304</v>
      </c>
      <c r="C99" s="320" t="s">
        <v>3692</v>
      </c>
      <c r="D99" s="771"/>
      <c r="E99" s="771" t="str">
        <f>+B98</f>
        <v>PBA210</v>
      </c>
      <c r="F99" s="334"/>
      <c r="G99" s="334"/>
    </row>
    <row r="100" spans="1:9">
      <c r="A100" s="767" t="s">
        <v>1965</v>
      </c>
      <c r="B100" s="317" t="s">
        <v>3314</v>
      </c>
      <c r="C100" s="317" t="s">
        <v>3315</v>
      </c>
      <c r="D100" s="328"/>
      <c r="E100" s="328"/>
      <c r="F100" s="333"/>
      <c r="G100" s="333"/>
    </row>
    <row r="101" spans="1:9">
      <c r="A101" s="767" t="s">
        <v>1967</v>
      </c>
      <c r="B101" s="317" t="s">
        <v>3316</v>
      </c>
      <c r="C101" s="317" t="s">
        <v>4305</v>
      </c>
      <c r="D101" s="328"/>
      <c r="E101" s="328"/>
      <c r="F101" s="333"/>
      <c r="G101" s="333"/>
    </row>
    <row r="102" spans="1:9">
      <c r="A102" s="319" t="s">
        <v>1969</v>
      </c>
      <c r="B102" s="319" t="s">
        <v>4306</v>
      </c>
      <c r="C102" s="320" t="s">
        <v>4307</v>
      </c>
      <c r="D102" s="771"/>
      <c r="E102" s="771" t="str">
        <f>+B101</f>
        <v>PBA230</v>
      </c>
      <c r="F102" s="334">
        <v>2220738.63</v>
      </c>
      <c r="G102" s="334">
        <v>2419994.2799999998</v>
      </c>
    </row>
    <row r="103" spans="1:9">
      <c r="A103" s="767" t="s">
        <v>1967</v>
      </c>
      <c r="B103" s="317" t="s">
        <v>3318</v>
      </c>
      <c r="C103" s="317" t="s">
        <v>3319</v>
      </c>
      <c r="D103" s="328"/>
      <c r="E103" s="328"/>
      <c r="F103" s="333"/>
      <c r="G103" s="333"/>
    </row>
    <row r="104" spans="1:9">
      <c r="A104" s="319" t="s">
        <v>1969</v>
      </c>
      <c r="B104" s="319" t="s">
        <v>4308</v>
      </c>
      <c r="C104" s="320" t="s">
        <v>3693</v>
      </c>
      <c r="D104" s="771"/>
      <c r="E104" s="771" t="str">
        <f>+B103</f>
        <v>PBA240</v>
      </c>
      <c r="F104" s="334"/>
      <c r="G104" s="334"/>
    </row>
    <row r="105" spans="1:9">
      <c r="A105" s="767" t="s">
        <v>1967</v>
      </c>
      <c r="B105" s="317" t="s">
        <v>3320</v>
      </c>
      <c r="C105" s="317" t="s">
        <v>3321</v>
      </c>
      <c r="D105" s="328"/>
      <c r="E105" s="328"/>
      <c r="F105" s="333"/>
      <c r="G105" s="333"/>
    </row>
    <row r="106" spans="1:9">
      <c r="A106" s="319" t="s">
        <v>1969</v>
      </c>
      <c r="B106" s="319" t="s">
        <v>4309</v>
      </c>
      <c r="C106" s="320" t="s">
        <v>3694</v>
      </c>
      <c r="D106" s="771"/>
      <c r="E106" s="771" t="str">
        <f>+B105</f>
        <v>PBA250</v>
      </c>
      <c r="F106" s="334"/>
      <c r="G106" s="334"/>
    </row>
    <row r="107" spans="1:9">
      <c r="A107" s="767" t="s">
        <v>1965</v>
      </c>
      <c r="B107" s="317" t="s">
        <v>3322</v>
      </c>
      <c r="C107" s="317" t="s">
        <v>3323</v>
      </c>
      <c r="D107" s="328"/>
      <c r="E107" s="328"/>
      <c r="F107" s="333"/>
      <c r="G107" s="333"/>
    </row>
    <row r="108" spans="1:9">
      <c r="A108" s="319">
        <v>5</v>
      </c>
      <c r="B108" s="319" t="s">
        <v>4310</v>
      </c>
      <c r="C108" s="320" t="s">
        <v>3695</v>
      </c>
      <c r="D108" s="771"/>
      <c r="E108" s="771" t="str">
        <f>+B107</f>
        <v>PBA260</v>
      </c>
      <c r="F108" s="334"/>
      <c r="G108" s="334"/>
    </row>
    <row r="109" spans="1:9">
      <c r="A109" s="319">
        <v>5</v>
      </c>
      <c r="B109" s="319" t="s">
        <v>4311</v>
      </c>
      <c r="C109" s="320" t="s">
        <v>3696</v>
      </c>
      <c r="D109" s="771"/>
      <c r="E109" s="771" t="str">
        <f>+E108</f>
        <v>PBA260</v>
      </c>
      <c r="F109" s="334">
        <v>525113.68999999994</v>
      </c>
      <c r="G109" s="334">
        <v>525113.68999999994</v>
      </c>
    </row>
    <row r="110" spans="1:9">
      <c r="A110" s="767" t="s">
        <v>1965</v>
      </c>
      <c r="B110" s="317" t="s">
        <v>3324</v>
      </c>
      <c r="C110" s="317" t="s">
        <v>4312</v>
      </c>
      <c r="D110" s="328"/>
      <c r="E110" s="328"/>
      <c r="F110" s="333"/>
      <c r="G110" s="333"/>
    </row>
    <row r="111" spans="1:9">
      <c r="A111" s="319" t="s">
        <v>1967</v>
      </c>
      <c r="B111" s="319" t="s">
        <v>4313</v>
      </c>
      <c r="C111" s="320" t="s">
        <v>3697</v>
      </c>
      <c r="D111" s="771"/>
      <c r="E111" s="771" t="str">
        <f>+B110</f>
        <v>PBA270</v>
      </c>
      <c r="F111" s="334">
        <v>250950.14</v>
      </c>
      <c r="G111" s="334">
        <v>3449.65</v>
      </c>
      <c r="I111" s="807"/>
    </row>
    <row r="112" spans="1:9">
      <c r="A112" s="767" t="s">
        <v>1960</v>
      </c>
      <c r="B112" s="317" t="s">
        <v>3326</v>
      </c>
      <c r="C112" s="317" t="s">
        <v>3327</v>
      </c>
      <c r="D112" s="328"/>
      <c r="E112" s="328"/>
      <c r="F112" s="333"/>
      <c r="G112" s="333"/>
    </row>
    <row r="113" spans="1:7">
      <c r="A113" s="767" t="s">
        <v>1963</v>
      </c>
      <c r="B113" s="317" t="s">
        <v>3328</v>
      </c>
      <c r="C113" s="317" t="s">
        <v>3329</v>
      </c>
      <c r="D113" s="328"/>
      <c r="E113" s="328"/>
      <c r="F113" s="333"/>
      <c r="G113" s="333"/>
    </row>
    <row r="114" spans="1:7">
      <c r="A114" s="319" t="s">
        <v>1965</v>
      </c>
      <c r="B114" s="319" t="s">
        <v>4314</v>
      </c>
      <c r="C114" s="320" t="s">
        <v>3698</v>
      </c>
      <c r="D114" s="771"/>
      <c r="E114" s="771" t="str">
        <f>+B113</f>
        <v>PCA000</v>
      </c>
      <c r="F114" s="334"/>
      <c r="G114" s="334"/>
    </row>
    <row r="115" spans="1:7">
      <c r="A115" s="767" t="s">
        <v>1963</v>
      </c>
      <c r="B115" s="317" t="s">
        <v>3330</v>
      </c>
      <c r="C115" s="317" t="s">
        <v>3331</v>
      </c>
      <c r="D115" s="328"/>
      <c r="E115" s="328"/>
      <c r="F115" s="333"/>
      <c r="G115" s="333"/>
    </row>
    <row r="116" spans="1:7">
      <c r="A116" s="319" t="s">
        <v>1965</v>
      </c>
      <c r="B116" s="319" t="s">
        <v>4315</v>
      </c>
      <c r="C116" s="320" t="s">
        <v>3699</v>
      </c>
      <c r="D116" s="771"/>
      <c r="E116" s="771" t="str">
        <f>+B115</f>
        <v>PCA010</v>
      </c>
      <c r="F116" s="334"/>
      <c r="G116" s="334"/>
    </row>
    <row r="117" spans="1:7">
      <c r="A117" s="767" t="s">
        <v>1963</v>
      </c>
      <c r="B117" s="317" t="s">
        <v>3332</v>
      </c>
      <c r="C117" s="317" t="s">
        <v>4316</v>
      </c>
      <c r="D117" s="328"/>
      <c r="E117" s="328"/>
      <c r="F117" s="333"/>
      <c r="G117" s="333"/>
    </row>
    <row r="118" spans="1:7">
      <c r="A118" s="319" t="s">
        <v>1965</v>
      </c>
      <c r="B118" s="319" t="s">
        <v>4317</v>
      </c>
      <c r="C118" s="320" t="s">
        <v>3700</v>
      </c>
      <c r="D118" s="771"/>
      <c r="E118" s="771" t="str">
        <f>+B117</f>
        <v>PCA020</v>
      </c>
      <c r="F118" s="334"/>
      <c r="G118" s="334"/>
    </row>
    <row r="119" spans="1:7">
      <c r="A119" s="767" t="s">
        <v>1960</v>
      </c>
      <c r="B119" s="317" t="s">
        <v>3334</v>
      </c>
      <c r="C119" s="317" t="s">
        <v>3335</v>
      </c>
      <c r="D119" s="328"/>
      <c r="E119" s="328"/>
      <c r="F119" s="333"/>
      <c r="G119" s="333"/>
    </row>
    <row r="120" spans="1:7">
      <c r="A120" s="767" t="s">
        <v>1963</v>
      </c>
      <c r="B120" s="317" t="s">
        <v>3336</v>
      </c>
      <c r="C120" s="317" t="s">
        <v>3337</v>
      </c>
      <c r="D120" s="328"/>
      <c r="E120" s="328"/>
      <c r="F120" s="333"/>
      <c r="G120" s="333"/>
    </row>
    <row r="121" spans="1:7">
      <c r="A121" s="319" t="s">
        <v>1965</v>
      </c>
      <c r="B121" s="319" t="s">
        <v>4318</v>
      </c>
      <c r="C121" s="320" t="s">
        <v>3701</v>
      </c>
      <c r="D121" s="771"/>
      <c r="E121" s="771" t="str">
        <f>+B120</f>
        <v>PDA000</v>
      </c>
      <c r="F121" s="334"/>
      <c r="G121" s="334"/>
    </row>
    <row r="122" spans="1:7">
      <c r="A122" s="767" t="s">
        <v>1963</v>
      </c>
      <c r="B122" s="317" t="s">
        <v>3338</v>
      </c>
      <c r="C122" s="317" t="s">
        <v>3339</v>
      </c>
      <c r="D122" s="328"/>
      <c r="E122" s="328"/>
      <c r="F122" s="333"/>
      <c r="G122" s="333"/>
    </row>
    <row r="123" spans="1:7">
      <c r="A123" s="767" t="s">
        <v>1965</v>
      </c>
      <c r="B123" s="317" t="s">
        <v>3340</v>
      </c>
      <c r="C123" s="317" t="s">
        <v>3341</v>
      </c>
      <c r="D123" s="328"/>
      <c r="E123" s="328"/>
      <c r="F123" s="333"/>
      <c r="G123" s="333"/>
    </row>
    <row r="124" spans="1:7">
      <c r="A124" s="319" t="s">
        <v>1967</v>
      </c>
      <c r="B124" s="319" t="s">
        <v>4319</v>
      </c>
      <c r="C124" s="320" t="s">
        <v>3702</v>
      </c>
      <c r="D124" s="771"/>
      <c r="E124" s="771" t="str">
        <f>+B123</f>
        <v>PDA020</v>
      </c>
      <c r="F124" s="334"/>
      <c r="G124" s="334"/>
    </row>
    <row r="125" spans="1:7">
      <c r="A125" s="767" t="s">
        <v>1965</v>
      </c>
      <c r="B125" s="317" t="s">
        <v>3342</v>
      </c>
      <c r="C125" s="317" t="s">
        <v>3343</v>
      </c>
      <c r="D125" s="328"/>
      <c r="E125" s="328"/>
      <c r="F125" s="333"/>
      <c r="G125" s="333"/>
    </row>
    <row r="126" spans="1:7">
      <c r="A126" s="319" t="s">
        <v>1967</v>
      </c>
      <c r="B126" s="319" t="s">
        <v>4320</v>
      </c>
      <c r="C126" s="320" t="s">
        <v>3703</v>
      </c>
      <c r="D126" s="771"/>
      <c r="E126" s="771" t="str">
        <f>+B125</f>
        <v>PDA030</v>
      </c>
      <c r="F126" s="334"/>
      <c r="G126" s="334"/>
    </row>
    <row r="127" spans="1:7">
      <c r="A127" s="767" t="s">
        <v>1965</v>
      </c>
      <c r="B127" s="317" t="s">
        <v>3344</v>
      </c>
      <c r="C127" s="317" t="s">
        <v>3345</v>
      </c>
      <c r="D127" s="328"/>
      <c r="E127" s="328"/>
      <c r="F127" s="333"/>
      <c r="G127" s="333"/>
    </row>
    <row r="128" spans="1:7">
      <c r="A128" s="319" t="s">
        <v>1967</v>
      </c>
      <c r="B128" s="319" t="s">
        <v>4321</v>
      </c>
      <c r="C128" s="320" t="s">
        <v>3704</v>
      </c>
      <c r="D128" s="771"/>
      <c r="E128" s="771" t="str">
        <f>+B127</f>
        <v>PDA040</v>
      </c>
      <c r="F128" s="334"/>
      <c r="G128" s="334"/>
    </row>
    <row r="129" spans="1:7">
      <c r="A129" s="767" t="s">
        <v>1965</v>
      </c>
      <c r="B129" s="317" t="s">
        <v>3346</v>
      </c>
      <c r="C129" s="317" t="s">
        <v>3347</v>
      </c>
      <c r="D129" s="328"/>
      <c r="E129" s="328"/>
      <c r="F129" s="333"/>
      <c r="G129" s="333"/>
    </row>
    <row r="130" spans="1:7">
      <c r="A130" s="319" t="s">
        <v>1967</v>
      </c>
      <c r="B130" s="319" t="s">
        <v>4322</v>
      </c>
      <c r="C130" s="320" t="s">
        <v>3705</v>
      </c>
      <c r="D130" s="771"/>
      <c r="E130" s="771" t="str">
        <f>+B129</f>
        <v>PDA050</v>
      </c>
      <c r="F130" s="334"/>
      <c r="G130" s="334"/>
    </row>
    <row r="131" spans="1:7">
      <c r="A131" s="767" t="s">
        <v>1965</v>
      </c>
      <c r="B131" s="317" t="s">
        <v>3348</v>
      </c>
      <c r="C131" s="317" t="s">
        <v>3349</v>
      </c>
      <c r="D131" s="328"/>
      <c r="E131" s="328"/>
      <c r="F131" s="333"/>
      <c r="G131" s="333"/>
    </row>
    <row r="132" spans="1:7">
      <c r="A132" s="319">
        <v>5</v>
      </c>
      <c r="B132" s="319" t="s">
        <v>4323</v>
      </c>
      <c r="C132" s="320" t="s">
        <v>4324</v>
      </c>
      <c r="D132" s="771"/>
      <c r="E132" s="771" t="str">
        <f>+B131</f>
        <v>PDA060</v>
      </c>
      <c r="F132" s="334"/>
      <c r="G132" s="334"/>
    </row>
    <row r="133" spans="1:7">
      <c r="A133" s="319">
        <v>5</v>
      </c>
      <c r="B133" s="319" t="s">
        <v>4325</v>
      </c>
      <c r="C133" s="320" t="s">
        <v>3706</v>
      </c>
      <c r="D133" s="771"/>
      <c r="E133" s="771" t="str">
        <f>+E132</f>
        <v>PDA060</v>
      </c>
      <c r="F133" s="334">
        <v>7746.84</v>
      </c>
      <c r="G133" s="334">
        <v>7746.84</v>
      </c>
    </row>
    <row r="134" spans="1:7">
      <c r="A134" s="319">
        <v>5</v>
      </c>
      <c r="B134" s="319" t="s">
        <v>4326</v>
      </c>
      <c r="C134" s="320" t="s">
        <v>4327</v>
      </c>
      <c r="D134" s="771"/>
      <c r="E134" s="771" t="str">
        <f t="shared" ref="E134:E135" si="0">+E133</f>
        <v>PDA060</v>
      </c>
      <c r="F134" s="334"/>
      <c r="G134" s="334"/>
    </row>
    <row r="135" spans="1:7">
      <c r="A135" s="319">
        <v>5</v>
      </c>
      <c r="B135" s="319" t="s">
        <v>4328</v>
      </c>
      <c r="C135" s="320" t="s">
        <v>4329</v>
      </c>
      <c r="D135" s="771"/>
      <c r="E135" s="771" t="str">
        <f t="shared" si="0"/>
        <v>PDA060</v>
      </c>
      <c r="F135" s="334"/>
      <c r="G135" s="334"/>
    </row>
    <row r="136" spans="1:7">
      <c r="A136" s="767" t="s">
        <v>1963</v>
      </c>
      <c r="B136" s="317" t="s">
        <v>3350</v>
      </c>
      <c r="C136" s="317" t="s">
        <v>3351</v>
      </c>
      <c r="D136" s="328"/>
      <c r="E136" s="328"/>
      <c r="F136" s="333"/>
      <c r="G136" s="333"/>
    </row>
    <row r="137" spans="1:7">
      <c r="A137" s="767" t="s">
        <v>1965</v>
      </c>
      <c r="B137" s="317" t="s">
        <v>3352</v>
      </c>
      <c r="C137" s="317" t="s">
        <v>3353</v>
      </c>
      <c r="D137" s="328"/>
      <c r="E137" s="328"/>
      <c r="F137" s="333"/>
      <c r="G137" s="333"/>
    </row>
    <row r="138" spans="1:7">
      <c r="A138" s="319" t="s">
        <v>1967</v>
      </c>
      <c r="B138" s="319" t="s">
        <v>4330</v>
      </c>
      <c r="C138" s="320" t="s">
        <v>3707</v>
      </c>
      <c r="D138" s="771"/>
      <c r="E138" s="771" t="str">
        <f>+B137</f>
        <v>PDA080</v>
      </c>
      <c r="F138" s="334"/>
      <c r="G138" s="334"/>
    </row>
    <row r="139" spans="1:7">
      <c r="A139" s="767" t="s">
        <v>1965</v>
      </c>
      <c r="B139" s="317" t="s">
        <v>3354</v>
      </c>
      <c r="C139" s="317" t="s">
        <v>3355</v>
      </c>
      <c r="D139" s="328"/>
      <c r="E139" s="328"/>
      <c r="F139" s="333"/>
      <c r="G139" s="333"/>
    </row>
    <row r="140" spans="1:7">
      <c r="A140" s="319" t="s">
        <v>1967</v>
      </c>
      <c r="B140" s="319" t="s">
        <v>4331</v>
      </c>
      <c r="C140" s="320" t="s">
        <v>3708</v>
      </c>
      <c r="D140" s="771"/>
      <c r="E140" s="771" t="str">
        <f>+B139</f>
        <v>PDA081</v>
      </c>
      <c r="F140" s="334"/>
      <c r="G140" s="334"/>
    </row>
    <row r="141" spans="1:7">
      <c r="A141" s="767" t="s">
        <v>1965</v>
      </c>
      <c r="B141" s="317" t="s">
        <v>3356</v>
      </c>
      <c r="C141" s="317" t="s">
        <v>3357</v>
      </c>
      <c r="D141" s="328" t="s">
        <v>1248</v>
      </c>
      <c r="E141" s="328"/>
      <c r="F141" s="333"/>
      <c r="G141" s="333"/>
    </row>
    <row r="142" spans="1:7">
      <c r="A142" s="319" t="s">
        <v>1967</v>
      </c>
      <c r="B142" s="319" t="s">
        <v>4332</v>
      </c>
      <c r="C142" s="320" t="s">
        <v>3709</v>
      </c>
      <c r="D142" s="771" t="s">
        <v>1248</v>
      </c>
      <c r="E142" s="771" t="str">
        <f>+B141</f>
        <v>PDA090</v>
      </c>
      <c r="F142" s="334"/>
      <c r="G142" s="334"/>
    </row>
    <row r="143" spans="1:7">
      <c r="A143" s="767" t="s">
        <v>1965</v>
      </c>
      <c r="B143" s="317" t="s">
        <v>3358</v>
      </c>
      <c r="C143" s="317" t="s">
        <v>3359</v>
      </c>
      <c r="D143" s="328"/>
      <c r="E143" s="328"/>
      <c r="F143" s="333"/>
      <c r="G143" s="333"/>
    </row>
    <row r="144" spans="1:7">
      <c r="A144" s="319" t="s">
        <v>1967</v>
      </c>
      <c r="B144" s="319" t="s">
        <v>4333</v>
      </c>
      <c r="C144" s="320" t="s">
        <v>3710</v>
      </c>
      <c r="D144" s="771"/>
      <c r="E144" s="771" t="str">
        <f>+B143</f>
        <v>PDA100</v>
      </c>
      <c r="F144" s="334"/>
      <c r="G144" s="334"/>
    </row>
    <row r="145" spans="1:7">
      <c r="A145" s="767" t="s">
        <v>1965</v>
      </c>
      <c r="B145" s="317" t="s">
        <v>3360</v>
      </c>
      <c r="C145" s="317" t="s">
        <v>3361</v>
      </c>
      <c r="D145" s="328"/>
      <c r="E145" s="328"/>
      <c r="F145" s="333"/>
      <c r="G145" s="333"/>
    </row>
    <row r="146" spans="1:7">
      <c r="A146" s="319" t="s">
        <v>1967</v>
      </c>
      <c r="B146" s="319" t="s">
        <v>4334</v>
      </c>
      <c r="C146" s="320" t="s">
        <v>3711</v>
      </c>
      <c r="D146" s="771"/>
      <c r="E146" s="771" t="str">
        <f>+B145</f>
        <v>PDA101</v>
      </c>
      <c r="F146" s="334"/>
      <c r="G146" s="334"/>
    </row>
    <row r="147" spans="1:7">
      <c r="A147" s="767" t="s">
        <v>1965</v>
      </c>
      <c r="B147" s="317" t="s">
        <v>3362</v>
      </c>
      <c r="C147" s="317" t="s">
        <v>3363</v>
      </c>
      <c r="D147" s="328"/>
      <c r="E147" s="328"/>
      <c r="F147" s="333"/>
      <c r="G147" s="333"/>
    </row>
    <row r="148" spans="1:7">
      <c r="A148" s="319" t="s">
        <v>1967</v>
      </c>
      <c r="B148" s="319" t="s">
        <v>4335</v>
      </c>
      <c r="C148" s="320" t="s">
        <v>3712</v>
      </c>
      <c r="D148" s="771"/>
      <c r="E148" s="771" t="str">
        <f>+B147</f>
        <v>PDA110</v>
      </c>
      <c r="F148" s="334"/>
      <c r="G148" s="334"/>
    </row>
    <row r="149" spans="1:7" ht="25.5">
      <c r="A149" s="767" t="s">
        <v>1965</v>
      </c>
      <c r="B149" s="317" t="s">
        <v>3364</v>
      </c>
      <c r="C149" s="317" t="s">
        <v>3365</v>
      </c>
      <c r="D149" s="328"/>
      <c r="E149" s="328"/>
      <c r="F149" s="333"/>
      <c r="G149" s="333"/>
    </row>
    <row r="150" spans="1:7" ht="24">
      <c r="A150" s="319" t="s">
        <v>1967</v>
      </c>
      <c r="B150" s="319" t="s">
        <v>4336</v>
      </c>
      <c r="C150" s="320" t="s">
        <v>3713</v>
      </c>
      <c r="D150" s="771"/>
      <c r="E150" s="771" t="str">
        <f>+B149</f>
        <v>PDA111</v>
      </c>
      <c r="F150" s="334"/>
      <c r="G150" s="334"/>
    </row>
    <row r="151" spans="1:7">
      <c r="A151" s="767" t="s">
        <v>1965</v>
      </c>
      <c r="B151" s="317" t="s">
        <v>3366</v>
      </c>
      <c r="C151" s="317" t="s">
        <v>4337</v>
      </c>
      <c r="D151" s="328"/>
      <c r="E151" s="328"/>
      <c r="F151" s="333"/>
      <c r="G151" s="333"/>
    </row>
    <row r="152" spans="1:7">
      <c r="A152" s="319" t="s">
        <v>1967</v>
      </c>
      <c r="B152" s="319" t="s">
        <v>4338</v>
      </c>
      <c r="C152" s="320" t="s">
        <v>4339</v>
      </c>
      <c r="D152" s="771"/>
      <c r="E152" s="771" t="str">
        <f>+B151</f>
        <v>PDA112</v>
      </c>
      <c r="F152" s="334"/>
      <c r="G152" s="334"/>
    </row>
    <row r="153" spans="1:7">
      <c r="A153" s="767" t="s">
        <v>1965</v>
      </c>
      <c r="B153" s="317" t="s">
        <v>3368</v>
      </c>
      <c r="C153" s="317" t="s">
        <v>4340</v>
      </c>
      <c r="D153" s="328"/>
      <c r="E153" s="328"/>
      <c r="F153" s="333"/>
      <c r="G153" s="333"/>
    </row>
    <row r="154" spans="1:7">
      <c r="A154" s="319" t="s">
        <v>1967</v>
      </c>
      <c r="B154" s="319" t="s">
        <v>4341</v>
      </c>
      <c r="C154" s="320" t="s">
        <v>3714</v>
      </c>
      <c r="D154" s="771"/>
      <c r="E154" s="771" t="str">
        <f>+B153</f>
        <v>PDA120</v>
      </c>
      <c r="F154" s="334"/>
      <c r="G154" s="334"/>
    </row>
    <row r="155" spans="1:7">
      <c r="A155" s="767" t="s">
        <v>1965</v>
      </c>
      <c r="B155" s="317" t="s">
        <v>3370</v>
      </c>
      <c r="C155" s="317" t="s">
        <v>3371</v>
      </c>
      <c r="D155" s="328"/>
      <c r="E155" s="328"/>
      <c r="F155" s="333"/>
      <c r="G155" s="333"/>
    </row>
    <row r="156" spans="1:7">
      <c r="A156" s="319">
        <v>5</v>
      </c>
      <c r="B156" s="319" t="s">
        <v>4342</v>
      </c>
      <c r="C156" s="320" t="s">
        <v>3715</v>
      </c>
      <c r="D156" s="771"/>
      <c r="E156" s="771" t="str">
        <f>+B155</f>
        <v>PDA121</v>
      </c>
      <c r="F156" s="334"/>
      <c r="G156" s="334"/>
    </row>
    <row r="157" spans="1:7">
      <c r="A157" s="319">
        <v>5</v>
      </c>
      <c r="B157" s="319" t="s">
        <v>4343</v>
      </c>
      <c r="C157" s="320" t="s">
        <v>3716</v>
      </c>
      <c r="D157" s="771"/>
      <c r="E157" s="771" t="str">
        <f>+E156</f>
        <v>PDA121</v>
      </c>
      <c r="F157" s="334">
        <v>18331.72</v>
      </c>
      <c r="G157" s="334">
        <v>18331.72</v>
      </c>
    </row>
    <row r="158" spans="1:7">
      <c r="A158" s="319">
        <v>5</v>
      </c>
      <c r="B158" s="319" t="s">
        <v>4344</v>
      </c>
      <c r="C158" s="320" t="s">
        <v>3717</v>
      </c>
      <c r="D158" s="771"/>
      <c r="E158" s="771" t="str">
        <f t="shared" ref="E158:E160" si="1">+E157</f>
        <v>PDA121</v>
      </c>
      <c r="F158" s="334">
        <v>2001720.69</v>
      </c>
      <c r="G158" s="334">
        <v>2001720.69</v>
      </c>
    </row>
    <row r="159" spans="1:7">
      <c r="A159" s="319">
        <v>5</v>
      </c>
      <c r="B159" s="319" t="s">
        <v>4345</v>
      </c>
      <c r="C159" s="320" t="s">
        <v>4346</v>
      </c>
      <c r="D159" s="771"/>
      <c r="E159" s="771" t="str">
        <f t="shared" si="1"/>
        <v>PDA121</v>
      </c>
      <c r="F159" s="334">
        <v>0</v>
      </c>
      <c r="G159" s="334">
        <v>536</v>
      </c>
    </row>
    <row r="160" spans="1:7">
      <c r="A160" s="319">
        <v>5</v>
      </c>
      <c r="B160" s="319" t="s">
        <v>4347</v>
      </c>
      <c r="C160" s="320" t="s">
        <v>4348</v>
      </c>
      <c r="D160" s="771"/>
      <c r="E160" s="771" t="str">
        <f t="shared" si="1"/>
        <v>PDA121</v>
      </c>
      <c r="F160" s="334"/>
      <c r="G160" s="334"/>
    </row>
    <row r="161" spans="1:7">
      <c r="A161" s="767" t="s">
        <v>1963</v>
      </c>
      <c r="B161" s="317" t="s">
        <v>3372</v>
      </c>
      <c r="C161" s="317" t="s">
        <v>3373</v>
      </c>
      <c r="D161" s="328"/>
      <c r="E161" s="328"/>
      <c r="F161" s="333"/>
      <c r="G161" s="333"/>
    </row>
    <row r="162" spans="1:7">
      <c r="A162" s="319">
        <v>4</v>
      </c>
      <c r="B162" s="319" t="s">
        <v>4349</v>
      </c>
      <c r="C162" s="320" t="s">
        <v>4350</v>
      </c>
      <c r="D162" s="771"/>
      <c r="E162" s="771" t="str">
        <f>+B161</f>
        <v>PDA130</v>
      </c>
      <c r="F162" s="334"/>
      <c r="G162" s="334"/>
    </row>
    <row r="163" spans="1:7">
      <c r="A163" s="319">
        <v>4</v>
      </c>
      <c r="B163" s="319" t="s">
        <v>4351</v>
      </c>
      <c r="C163" s="320" t="s">
        <v>3718</v>
      </c>
      <c r="D163" s="771"/>
      <c r="E163" s="771" t="str">
        <f>+E162</f>
        <v>PDA130</v>
      </c>
      <c r="F163" s="334"/>
      <c r="G163" s="334"/>
    </row>
    <row r="164" spans="1:7">
      <c r="A164" s="319">
        <v>4</v>
      </c>
      <c r="B164" s="319" t="s">
        <v>4352</v>
      </c>
      <c r="C164" s="320" t="s">
        <v>4353</v>
      </c>
      <c r="D164" s="771"/>
      <c r="E164" s="771" t="str">
        <f t="shared" ref="E164:E165" si="2">+E163</f>
        <v>PDA130</v>
      </c>
      <c r="F164" s="334"/>
      <c r="G164" s="334"/>
    </row>
    <row r="165" spans="1:7">
      <c r="A165" s="319">
        <v>4</v>
      </c>
      <c r="B165" s="319" t="s">
        <v>4354</v>
      </c>
      <c r="C165" s="320" t="s">
        <v>4355</v>
      </c>
      <c r="D165" s="771"/>
      <c r="E165" s="771" t="str">
        <f t="shared" si="2"/>
        <v>PDA130</v>
      </c>
      <c r="F165" s="334"/>
      <c r="G165" s="334"/>
    </row>
    <row r="166" spans="1:7">
      <c r="A166" s="767" t="s">
        <v>1963</v>
      </c>
      <c r="B166" s="317" t="s">
        <v>3374</v>
      </c>
      <c r="C166" s="317" t="s">
        <v>3375</v>
      </c>
      <c r="D166" s="328"/>
      <c r="E166" s="328"/>
      <c r="F166" s="333"/>
      <c r="G166" s="333"/>
    </row>
    <row r="167" spans="1:7">
      <c r="A167" s="767" t="s">
        <v>1965</v>
      </c>
      <c r="B167" s="317" t="s">
        <v>3376</v>
      </c>
      <c r="C167" s="317" t="s">
        <v>3377</v>
      </c>
      <c r="D167" s="328"/>
      <c r="E167" s="328"/>
      <c r="F167" s="333"/>
      <c r="G167" s="333"/>
    </row>
    <row r="168" spans="1:7" ht="25.5">
      <c r="A168" s="767" t="s">
        <v>1967</v>
      </c>
      <c r="B168" s="317" t="s">
        <v>3378</v>
      </c>
      <c r="C168" s="317" t="s">
        <v>3379</v>
      </c>
      <c r="D168" s="328" t="s">
        <v>4123</v>
      </c>
      <c r="E168" s="328"/>
      <c r="F168" s="333"/>
      <c r="G168" s="333"/>
    </row>
    <row r="169" spans="1:7">
      <c r="A169" s="319" t="s">
        <v>1969</v>
      </c>
      <c r="B169" s="319" t="s">
        <v>4356</v>
      </c>
      <c r="C169" s="320" t="s">
        <v>3719</v>
      </c>
      <c r="D169" s="771" t="s">
        <v>4123</v>
      </c>
      <c r="E169" s="771"/>
      <c r="F169" s="334"/>
      <c r="G169" s="334"/>
    </row>
    <row r="170" spans="1:7" ht="25.5">
      <c r="A170" s="767" t="s">
        <v>1967</v>
      </c>
      <c r="B170" s="317" t="s">
        <v>3380</v>
      </c>
      <c r="C170" s="317" t="s">
        <v>3381</v>
      </c>
      <c r="D170" s="328" t="s">
        <v>4123</v>
      </c>
      <c r="E170" s="328"/>
      <c r="F170" s="333"/>
      <c r="G170" s="333"/>
    </row>
    <row r="171" spans="1:7" ht="24">
      <c r="A171" s="319" t="s">
        <v>1969</v>
      </c>
      <c r="B171" s="319" t="s">
        <v>4357</v>
      </c>
      <c r="C171" s="320" t="s">
        <v>3720</v>
      </c>
      <c r="D171" s="771" t="s">
        <v>4123</v>
      </c>
      <c r="E171" s="771"/>
      <c r="F171" s="334"/>
      <c r="G171" s="334"/>
    </row>
    <row r="172" spans="1:7" ht="25.5">
      <c r="A172" s="767" t="s">
        <v>1967</v>
      </c>
      <c r="B172" s="317" t="s">
        <v>3382</v>
      </c>
      <c r="C172" s="317" t="s">
        <v>3383</v>
      </c>
      <c r="D172" s="328" t="s">
        <v>4123</v>
      </c>
      <c r="E172" s="328"/>
      <c r="F172" s="333"/>
      <c r="G172" s="333"/>
    </row>
    <row r="173" spans="1:7" ht="24">
      <c r="A173" s="319" t="s">
        <v>1969</v>
      </c>
      <c r="B173" s="319" t="s">
        <v>4358</v>
      </c>
      <c r="C173" s="320" t="s">
        <v>3721</v>
      </c>
      <c r="D173" s="771" t="s">
        <v>4123</v>
      </c>
      <c r="E173" s="771"/>
      <c r="F173" s="334"/>
      <c r="G173" s="334"/>
    </row>
    <row r="174" spans="1:7" ht="25.5">
      <c r="A174" s="767" t="s">
        <v>1967</v>
      </c>
      <c r="B174" s="317" t="s">
        <v>3384</v>
      </c>
      <c r="C174" s="317" t="s">
        <v>3385</v>
      </c>
      <c r="D174" s="328" t="s">
        <v>4123</v>
      </c>
      <c r="E174" s="328"/>
      <c r="F174" s="333"/>
      <c r="G174" s="333"/>
    </row>
    <row r="175" spans="1:7">
      <c r="A175" s="319" t="s">
        <v>1969</v>
      </c>
      <c r="B175" s="319" t="s">
        <v>4359</v>
      </c>
      <c r="C175" s="320" t="s">
        <v>3722</v>
      </c>
      <c r="D175" s="771" t="s">
        <v>4123</v>
      </c>
      <c r="E175" s="771"/>
      <c r="F175" s="334"/>
      <c r="G175" s="334"/>
    </row>
    <row r="176" spans="1:7" ht="25.5">
      <c r="A176" s="767" t="s">
        <v>1967</v>
      </c>
      <c r="B176" s="317" t="s">
        <v>3386</v>
      </c>
      <c r="C176" s="317" t="s">
        <v>3387</v>
      </c>
      <c r="D176" s="328" t="s">
        <v>4123</v>
      </c>
      <c r="E176" s="328"/>
      <c r="F176" s="333"/>
      <c r="G176" s="333"/>
    </row>
    <row r="177" spans="1:7">
      <c r="A177" s="319">
        <v>6</v>
      </c>
      <c r="B177" s="319" t="s">
        <v>4360</v>
      </c>
      <c r="C177" s="320" t="s">
        <v>3723</v>
      </c>
      <c r="D177" s="771" t="s">
        <v>4123</v>
      </c>
      <c r="E177" s="771"/>
      <c r="F177" s="334"/>
      <c r="G177" s="334"/>
    </row>
    <row r="178" spans="1:7" ht="24">
      <c r="A178" s="319">
        <v>6</v>
      </c>
      <c r="B178" s="319" t="s">
        <v>4361</v>
      </c>
      <c r="C178" s="320" t="s">
        <v>4362</v>
      </c>
      <c r="D178" s="771" t="s">
        <v>4123</v>
      </c>
      <c r="E178" s="771"/>
      <c r="F178" s="334"/>
      <c r="G178" s="334"/>
    </row>
    <row r="179" spans="1:7" ht="24">
      <c r="A179" s="319">
        <v>6</v>
      </c>
      <c r="B179" s="319" t="s">
        <v>4363</v>
      </c>
      <c r="C179" s="320" t="s">
        <v>4364</v>
      </c>
      <c r="D179" s="771" t="s">
        <v>4123</v>
      </c>
      <c r="E179" s="771"/>
      <c r="F179" s="334"/>
      <c r="G179" s="334"/>
    </row>
    <row r="180" spans="1:7" ht="25.5">
      <c r="A180" s="767" t="s">
        <v>1967</v>
      </c>
      <c r="B180" s="317" t="s">
        <v>3388</v>
      </c>
      <c r="C180" s="317" t="s">
        <v>3389</v>
      </c>
      <c r="D180" s="328" t="s">
        <v>4123</v>
      </c>
      <c r="E180" s="328"/>
      <c r="F180" s="333"/>
      <c r="G180" s="333"/>
    </row>
    <row r="181" spans="1:7">
      <c r="A181" s="319">
        <v>6</v>
      </c>
      <c r="B181" s="319" t="s">
        <v>4365</v>
      </c>
      <c r="C181" s="320" t="s">
        <v>3724</v>
      </c>
      <c r="D181" s="771" t="s">
        <v>4123</v>
      </c>
      <c r="E181" s="771"/>
      <c r="F181" s="334">
        <v>56413956.880000003</v>
      </c>
      <c r="G181" s="334">
        <v>71511041.439999998</v>
      </c>
    </row>
    <row r="182" spans="1:7" ht="24">
      <c r="A182" s="319">
        <v>6</v>
      </c>
      <c r="B182" s="319" t="s">
        <v>4366</v>
      </c>
      <c r="C182" s="320" t="s">
        <v>4367</v>
      </c>
      <c r="D182" s="771" t="s">
        <v>4123</v>
      </c>
      <c r="E182" s="771"/>
      <c r="F182" s="334">
        <v>218088.17</v>
      </c>
      <c r="G182" s="334">
        <v>90100.93</v>
      </c>
    </row>
    <row r="183" spans="1:7" ht="24">
      <c r="A183" s="319">
        <v>6</v>
      </c>
      <c r="B183" s="319" t="s">
        <v>4368</v>
      </c>
      <c r="C183" s="320" t="s">
        <v>4369</v>
      </c>
      <c r="D183" s="771" t="s">
        <v>4123</v>
      </c>
      <c r="E183" s="771"/>
      <c r="F183" s="334">
        <v>-271.08</v>
      </c>
      <c r="G183" s="334">
        <v>-184.18</v>
      </c>
    </row>
    <row r="184" spans="1:7" ht="25.5">
      <c r="A184" s="767" t="s">
        <v>1967</v>
      </c>
      <c r="B184" s="317" t="s">
        <v>3390</v>
      </c>
      <c r="C184" s="317" t="s">
        <v>4370</v>
      </c>
      <c r="D184" s="328" t="s">
        <v>4123</v>
      </c>
      <c r="E184" s="328"/>
      <c r="F184" s="333"/>
      <c r="G184" s="333"/>
    </row>
    <row r="185" spans="1:7">
      <c r="A185" s="319" t="s">
        <v>1969</v>
      </c>
      <c r="B185" s="319" t="s">
        <v>4371</v>
      </c>
      <c r="C185" s="320" t="s">
        <v>3725</v>
      </c>
      <c r="D185" s="771" t="s">
        <v>4123</v>
      </c>
      <c r="E185" s="771"/>
      <c r="F185" s="334"/>
      <c r="G185" s="334"/>
    </row>
    <row r="186" spans="1:7" ht="25.5">
      <c r="A186" s="767" t="s">
        <v>1967</v>
      </c>
      <c r="B186" s="317" t="s">
        <v>3392</v>
      </c>
      <c r="C186" s="317" t="s">
        <v>4372</v>
      </c>
      <c r="D186" s="328" t="s">
        <v>4123</v>
      </c>
      <c r="E186" s="328"/>
      <c r="F186" s="333"/>
      <c r="G186" s="333"/>
    </row>
    <row r="187" spans="1:7" ht="24">
      <c r="A187" s="319" t="s">
        <v>1969</v>
      </c>
      <c r="B187" s="319" t="s">
        <v>4373</v>
      </c>
      <c r="C187" s="320" t="s">
        <v>4374</v>
      </c>
      <c r="D187" s="771" t="s">
        <v>4123</v>
      </c>
      <c r="E187" s="771"/>
      <c r="F187" s="334"/>
      <c r="G187" s="334"/>
    </row>
    <row r="188" spans="1:7">
      <c r="A188" s="767" t="s">
        <v>1967</v>
      </c>
      <c r="B188" s="317" t="s">
        <v>3394</v>
      </c>
      <c r="C188" s="317" t="s">
        <v>4375</v>
      </c>
      <c r="D188" s="328"/>
      <c r="E188" s="328"/>
      <c r="F188" s="333"/>
      <c r="G188" s="333"/>
    </row>
    <row r="189" spans="1:7">
      <c r="A189" s="319" t="s">
        <v>1969</v>
      </c>
      <c r="B189" s="319" t="s">
        <v>4376</v>
      </c>
      <c r="C189" s="320" t="s">
        <v>4377</v>
      </c>
      <c r="D189" s="771" t="s">
        <v>4123</v>
      </c>
      <c r="E189" s="771"/>
      <c r="F189" s="334"/>
      <c r="G189" s="334"/>
    </row>
    <row r="190" spans="1:7">
      <c r="A190" s="767" t="s">
        <v>1965</v>
      </c>
      <c r="B190" s="317" t="s">
        <v>3396</v>
      </c>
      <c r="C190" s="317" t="s">
        <v>4378</v>
      </c>
      <c r="D190" s="328"/>
      <c r="E190" s="328"/>
      <c r="F190" s="333"/>
      <c r="G190" s="333"/>
    </row>
    <row r="191" spans="1:7">
      <c r="A191" s="319">
        <v>5</v>
      </c>
      <c r="B191" s="319" t="s">
        <v>4379</v>
      </c>
      <c r="C191" s="320" t="s">
        <v>3726</v>
      </c>
      <c r="D191" s="771"/>
      <c r="E191" s="771" t="str">
        <f>+B190</f>
        <v>PDA220</v>
      </c>
      <c r="F191" s="334">
        <v>155618.43</v>
      </c>
      <c r="G191" s="334">
        <v>203629.07</v>
      </c>
    </row>
    <row r="192" spans="1:7">
      <c r="A192" s="319">
        <v>5</v>
      </c>
      <c r="B192" s="319" t="s">
        <v>4380</v>
      </c>
      <c r="C192" s="320" t="s">
        <v>4381</v>
      </c>
      <c r="D192" s="771"/>
      <c r="E192" s="771" t="str">
        <f>+E191</f>
        <v>PDA220</v>
      </c>
      <c r="F192" s="334">
        <v>31122.82</v>
      </c>
      <c r="G192" s="334">
        <v>53838.64</v>
      </c>
    </row>
    <row r="193" spans="1:7">
      <c r="A193" s="319">
        <v>5</v>
      </c>
      <c r="B193" s="319" t="s">
        <v>4382</v>
      </c>
      <c r="C193" s="320" t="s">
        <v>4383</v>
      </c>
      <c r="D193" s="771"/>
      <c r="E193" s="771" t="str">
        <f t="shared" ref="E193" si="3">+E192</f>
        <v>PDA220</v>
      </c>
      <c r="F193" s="334">
        <v>-256.56</v>
      </c>
      <c r="G193" s="334">
        <v>-256.56</v>
      </c>
    </row>
    <row r="194" spans="1:7" ht="25.5">
      <c r="A194" s="767" t="s">
        <v>1965</v>
      </c>
      <c r="B194" s="317" t="s">
        <v>3398</v>
      </c>
      <c r="C194" s="317" t="s">
        <v>3399</v>
      </c>
      <c r="D194" s="328"/>
      <c r="E194" s="328"/>
      <c r="F194" s="333"/>
      <c r="G194" s="333"/>
    </row>
    <row r="195" spans="1:7" ht="25.5">
      <c r="A195" s="767" t="s">
        <v>1967</v>
      </c>
      <c r="B195" s="317" t="s">
        <v>3400</v>
      </c>
      <c r="C195" s="317" t="s">
        <v>4384</v>
      </c>
      <c r="D195" s="328"/>
      <c r="E195" s="328"/>
      <c r="F195" s="333"/>
      <c r="G195" s="333"/>
    </row>
    <row r="196" spans="1:7" ht="24">
      <c r="A196" s="319" t="s">
        <v>1969</v>
      </c>
      <c r="B196" s="319" t="s">
        <v>4385</v>
      </c>
      <c r="C196" s="320" t="s">
        <v>3727</v>
      </c>
      <c r="D196" s="771" t="s">
        <v>4123</v>
      </c>
      <c r="E196" s="771"/>
      <c r="F196" s="334"/>
      <c r="G196" s="334"/>
    </row>
    <row r="197" spans="1:7" ht="25.5">
      <c r="A197" s="767" t="s">
        <v>1967</v>
      </c>
      <c r="B197" s="317" t="s">
        <v>3402</v>
      </c>
      <c r="C197" s="317" t="s">
        <v>3403</v>
      </c>
      <c r="D197" s="328"/>
      <c r="E197" s="328"/>
      <c r="F197" s="333"/>
      <c r="G197" s="333"/>
    </row>
    <row r="198" spans="1:7" ht="24">
      <c r="A198" s="319" t="s">
        <v>1969</v>
      </c>
      <c r="B198" s="319" t="s">
        <v>4386</v>
      </c>
      <c r="C198" s="320" t="s">
        <v>4387</v>
      </c>
      <c r="D198" s="771" t="s">
        <v>4123</v>
      </c>
      <c r="E198" s="771"/>
      <c r="F198" s="334"/>
      <c r="G198" s="334"/>
    </row>
    <row r="199" spans="1:7" ht="25.5">
      <c r="A199" s="767" t="s">
        <v>1967</v>
      </c>
      <c r="B199" s="317" t="s">
        <v>3404</v>
      </c>
      <c r="C199" s="317" t="s">
        <v>3405</v>
      </c>
      <c r="D199" s="328"/>
      <c r="E199" s="328"/>
      <c r="F199" s="333"/>
      <c r="G199" s="333"/>
    </row>
    <row r="200" spans="1:7" ht="24">
      <c r="A200" s="319" t="s">
        <v>1969</v>
      </c>
      <c r="B200" s="319" t="s">
        <v>4388</v>
      </c>
      <c r="C200" s="320" t="s">
        <v>3728</v>
      </c>
      <c r="D200" s="771" t="s">
        <v>4123</v>
      </c>
      <c r="E200" s="771"/>
      <c r="F200" s="334"/>
      <c r="G200" s="334"/>
    </row>
    <row r="201" spans="1:7" ht="25.5">
      <c r="A201" s="767" t="s">
        <v>1967</v>
      </c>
      <c r="B201" s="317" t="s">
        <v>3406</v>
      </c>
      <c r="C201" s="317" t="s">
        <v>3407</v>
      </c>
      <c r="D201" s="328"/>
      <c r="E201" s="328"/>
      <c r="F201" s="333"/>
      <c r="G201" s="333"/>
    </row>
    <row r="202" spans="1:7" ht="24">
      <c r="A202" s="319" t="s">
        <v>1969</v>
      </c>
      <c r="B202" s="319" t="s">
        <v>4389</v>
      </c>
      <c r="C202" s="320" t="s">
        <v>3729</v>
      </c>
      <c r="D202" s="771" t="s">
        <v>4123</v>
      </c>
      <c r="E202" s="771"/>
      <c r="F202" s="334"/>
      <c r="G202" s="334"/>
    </row>
    <row r="203" spans="1:7" ht="25.5">
      <c r="A203" s="767" t="s">
        <v>1967</v>
      </c>
      <c r="B203" s="317" t="s">
        <v>3408</v>
      </c>
      <c r="C203" s="317" t="s">
        <v>3409</v>
      </c>
      <c r="D203" s="328"/>
      <c r="E203" s="328"/>
      <c r="F203" s="333"/>
      <c r="G203" s="333"/>
    </row>
    <row r="204" spans="1:7" ht="24">
      <c r="A204" s="319" t="s">
        <v>1969</v>
      </c>
      <c r="B204" s="319" t="s">
        <v>4390</v>
      </c>
      <c r="C204" s="320" t="s">
        <v>3730</v>
      </c>
      <c r="D204" s="771" t="s">
        <v>4123</v>
      </c>
      <c r="E204" s="771"/>
      <c r="F204" s="334"/>
      <c r="G204" s="334"/>
    </row>
    <row r="205" spans="1:7">
      <c r="A205" s="767" t="s">
        <v>1963</v>
      </c>
      <c r="B205" s="317" t="s">
        <v>3410</v>
      </c>
      <c r="C205" s="317" t="s">
        <v>3411</v>
      </c>
      <c r="D205" s="328"/>
      <c r="E205" s="328"/>
      <c r="F205" s="333"/>
      <c r="G205" s="333"/>
    </row>
    <row r="206" spans="1:7">
      <c r="A206" s="767" t="s">
        <v>1965</v>
      </c>
      <c r="B206" s="317" t="s">
        <v>3412</v>
      </c>
      <c r="C206" s="317" t="s">
        <v>3413</v>
      </c>
      <c r="D206" s="328"/>
      <c r="E206" s="328"/>
      <c r="F206" s="333"/>
      <c r="G206" s="333"/>
    </row>
    <row r="207" spans="1:7">
      <c r="A207" s="319" t="s">
        <v>1967</v>
      </c>
      <c r="B207" s="319" t="s">
        <v>4391</v>
      </c>
      <c r="C207" s="320" t="s">
        <v>3731</v>
      </c>
      <c r="D207" s="771"/>
      <c r="E207" s="771" t="str">
        <f>+B206</f>
        <v>PDA250</v>
      </c>
      <c r="F207" s="334"/>
      <c r="G207" s="334"/>
    </row>
    <row r="208" spans="1:7">
      <c r="A208" s="767" t="s">
        <v>1965</v>
      </c>
      <c r="B208" s="317" t="s">
        <v>3414</v>
      </c>
      <c r="C208" s="317" t="s">
        <v>3415</v>
      </c>
      <c r="D208" s="328"/>
      <c r="E208" s="328"/>
      <c r="F208" s="333"/>
      <c r="G208" s="333"/>
    </row>
    <row r="209" spans="1:7">
      <c r="A209" s="319" t="s">
        <v>1967</v>
      </c>
      <c r="B209" s="319" t="s">
        <v>4392</v>
      </c>
      <c r="C209" s="320" t="s">
        <v>3732</v>
      </c>
      <c r="D209" s="771"/>
      <c r="E209" s="771" t="str">
        <f>+B208</f>
        <v>PDA260</v>
      </c>
      <c r="F209" s="334"/>
      <c r="G209" s="334"/>
    </row>
    <row r="210" spans="1:7">
      <c r="A210" s="767" t="s">
        <v>1965</v>
      </c>
      <c r="B210" s="317" t="s">
        <v>3416</v>
      </c>
      <c r="C210" s="317" t="s">
        <v>3417</v>
      </c>
      <c r="D210" s="328"/>
      <c r="E210" s="328"/>
      <c r="F210" s="333"/>
      <c r="G210" s="333"/>
    </row>
    <row r="211" spans="1:7">
      <c r="A211" s="319">
        <v>5</v>
      </c>
      <c r="B211" s="319" t="s">
        <v>4393</v>
      </c>
      <c r="C211" s="320" t="s">
        <v>3733</v>
      </c>
      <c r="D211" s="771"/>
      <c r="E211" s="771" t="str">
        <f>+B210</f>
        <v>PDA270</v>
      </c>
      <c r="F211" s="334"/>
      <c r="G211" s="334"/>
    </row>
    <row r="212" spans="1:7">
      <c r="A212" s="319">
        <v>5</v>
      </c>
      <c r="B212" s="319" t="s">
        <v>4394</v>
      </c>
      <c r="C212" s="320" t="s">
        <v>4395</v>
      </c>
      <c r="D212" s="771"/>
      <c r="E212" s="771" t="str">
        <f>+E211</f>
        <v>PDA270</v>
      </c>
      <c r="F212" s="334"/>
      <c r="G212" s="334"/>
    </row>
    <row r="213" spans="1:7">
      <c r="A213" s="319">
        <v>5</v>
      </c>
      <c r="B213" s="319" t="s">
        <v>4396</v>
      </c>
      <c r="C213" s="320" t="s">
        <v>4397</v>
      </c>
      <c r="D213" s="771"/>
      <c r="E213" s="771" t="str">
        <f>+E212</f>
        <v>PDA270</v>
      </c>
      <c r="F213" s="334"/>
      <c r="G213" s="334"/>
    </row>
    <row r="214" spans="1:7">
      <c r="A214" s="767" t="s">
        <v>1963</v>
      </c>
      <c r="B214" s="317" t="s">
        <v>3418</v>
      </c>
      <c r="C214" s="317" t="s">
        <v>3419</v>
      </c>
      <c r="D214" s="328"/>
      <c r="E214" s="328"/>
      <c r="F214" s="333"/>
      <c r="G214" s="333"/>
    </row>
    <row r="215" spans="1:7" ht="25.5">
      <c r="A215" s="767" t="s">
        <v>1965</v>
      </c>
      <c r="B215" s="317" t="s">
        <v>3420</v>
      </c>
      <c r="C215" s="317" t="s">
        <v>4398</v>
      </c>
      <c r="D215" s="328"/>
      <c r="E215" s="328"/>
      <c r="F215" s="333"/>
      <c r="G215" s="333"/>
    </row>
    <row r="216" spans="1:7" ht="25.5">
      <c r="A216" s="767" t="s">
        <v>1967</v>
      </c>
      <c r="B216" s="317" t="s">
        <v>3422</v>
      </c>
      <c r="C216" s="317" t="s">
        <v>4399</v>
      </c>
      <c r="D216" s="328"/>
      <c r="E216" s="328"/>
      <c r="F216" s="333"/>
      <c r="G216" s="333"/>
    </row>
    <row r="217" spans="1:7">
      <c r="A217" s="319">
        <v>6</v>
      </c>
      <c r="B217" s="319" t="s">
        <v>4400</v>
      </c>
      <c r="C217" s="320" t="s">
        <v>4401</v>
      </c>
      <c r="D217" s="771"/>
      <c r="E217" s="771" t="str">
        <f>+B216</f>
        <v>PDA291</v>
      </c>
      <c r="F217" s="334"/>
      <c r="G217" s="334">
        <v>0</v>
      </c>
    </row>
    <row r="218" spans="1:7" ht="24">
      <c r="A218" s="319" t="s">
        <v>1969</v>
      </c>
      <c r="B218" s="319" t="s">
        <v>4402</v>
      </c>
      <c r="C218" s="320" t="s">
        <v>4403</v>
      </c>
      <c r="D218" s="771"/>
      <c r="E218" s="771" t="str">
        <f>+E217</f>
        <v>PDA291</v>
      </c>
      <c r="F218" s="334"/>
      <c r="G218" s="334"/>
    </row>
    <row r="219" spans="1:7">
      <c r="A219" s="767" t="s">
        <v>1967</v>
      </c>
      <c r="B219" s="317" t="s">
        <v>3424</v>
      </c>
      <c r="C219" s="317" t="s">
        <v>3425</v>
      </c>
      <c r="D219" s="328"/>
      <c r="E219" s="328"/>
      <c r="F219" s="333"/>
      <c r="G219" s="333"/>
    </row>
    <row r="220" spans="1:7">
      <c r="A220" s="319" t="s">
        <v>1969</v>
      </c>
      <c r="B220" s="319" t="s">
        <v>4404</v>
      </c>
      <c r="C220" s="320" t="s">
        <v>3734</v>
      </c>
      <c r="D220" s="771"/>
      <c r="E220" s="771" t="str">
        <f>+B219</f>
        <v>PDA292</v>
      </c>
      <c r="F220" s="334"/>
      <c r="G220" s="334"/>
    </row>
    <row r="221" spans="1:7">
      <c r="A221" s="767" t="s">
        <v>1965</v>
      </c>
      <c r="B221" s="317" t="s">
        <v>3426</v>
      </c>
      <c r="C221" s="317" t="s">
        <v>3427</v>
      </c>
      <c r="D221" s="328"/>
      <c r="E221" s="328"/>
      <c r="F221" s="333"/>
      <c r="G221" s="333"/>
    </row>
    <row r="222" spans="1:7">
      <c r="A222" s="767" t="s">
        <v>1967</v>
      </c>
      <c r="B222" s="317" t="s">
        <v>3428</v>
      </c>
      <c r="C222" s="317" t="s">
        <v>3429</v>
      </c>
      <c r="D222" s="328"/>
      <c r="E222" s="328"/>
      <c r="F222" s="333"/>
      <c r="G222" s="333"/>
    </row>
    <row r="223" spans="1:7">
      <c r="A223" s="319">
        <v>6</v>
      </c>
      <c r="B223" s="319" t="s">
        <v>4405</v>
      </c>
      <c r="C223" s="320" t="s">
        <v>3735</v>
      </c>
      <c r="D223" s="771"/>
      <c r="E223" s="771" t="str">
        <f>+B222</f>
        <v>PDA301</v>
      </c>
      <c r="F223" s="334">
        <v>66861795.119999997</v>
      </c>
      <c r="G223" s="334">
        <v>82814274.799999997</v>
      </c>
    </row>
    <row r="224" spans="1:7">
      <c r="A224" s="319">
        <v>6</v>
      </c>
      <c r="B224" s="319" t="s">
        <v>4406</v>
      </c>
      <c r="C224" s="320" t="s">
        <v>3736</v>
      </c>
      <c r="D224" s="771"/>
      <c r="E224" s="771" t="str">
        <f>+E223</f>
        <v>PDA301</v>
      </c>
      <c r="F224" s="334">
        <v>227612.21</v>
      </c>
      <c r="G224" s="334">
        <v>390314.42</v>
      </c>
    </row>
    <row r="225" spans="1:7">
      <c r="A225" s="319">
        <v>6</v>
      </c>
      <c r="B225" s="319" t="s">
        <v>4407</v>
      </c>
      <c r="C225" s="320" t="s">
        <v>3737</v>
      </c>
      <c r="D225" s="771"/>
      <c r="E225" s="771" t="str">
        <f>+E224</f>
        <v>PDA301</v>
      </c>
      <c r="F225" s="334"/>
      <c r="G225" s="334">
        <v>1308860.6299999999</v>
      </c>
    </row>
    <row r="226" spans="1:7">
      <c r="A226" s="319">
        <v>6</v>
      </c>
      <c r="B226" s="319" t="s">
        <v>4408</v>
      </c>
      <c r="C226" s="320" t="s">
        <v>3738</v>
      </c>
      <c r="D226" s="771"/>
      <c r="E226" s="771" t="str">
        <f>+E225</f>
        <v>PDA301</v>
      </c>
      <c r="F226" s="334"/>
      <c r="G226" s="334"/>
    </row>
    <row r="227" spans="1:7">
      <c r="A227" s="319">
        <v>6</v>
      </c>
      <c r="B227" s="319" t="s">
        <v>4409</v>
      </c>
      <c r="C227" s="320" t="s">
        <v>3739</v>
      </c>
      <c r="D227" s="771"/>
      <c r="E227" s="771" t="str">
        <f t="shared" ref="E227:E228" si="4">+E226</f>
        <v>PDA301</v>
      </c>
      <c r="F227" s="334"/>
      <c r="G227" s="334"/>
    </row>
    <row r="228" spans="1:7">
      <c r="A228" s="319">
        <v>6</v>
      </c>
      <c r="B228" s="319" t="s">
        <v>4410</v>
      </c>
      <c r="C228" s="320" t="s">
        <v>4411</v>
      </c>
      <c r="D228" s="771"/>
      <c r="E228" s="771" t="str">
        <f t="shared" si="4"/>
        <v>PDA301</v>
      </c>
      <c r="F228" s="334">
        <v>6034962.5800000001</v>
      </c>
      <c r="G228" s="334">
        <v>7972324.0899999999</v>
      </c>
    </row>
    <row r="229" spans="1:7">
      <c r="A229" s="767" t="s">
        <v>1967</v>
      </c>
      <c r="B229" s="317" t="s">
        <v>3430</v>
      </c>
      <c r="C229" s="317" t="s">
        <v>4412</v>
      </c>
      <c r="D229" s="328"/>
      <c r="E229" s="328"/>
      <c r="F229" s="333"/>
      <c r="G229" s="333"/>
    </row>
    <row r="230" spans="1:7">
      <c r="A230" s="319" t="s">
        <v>1969</v>
      </c>
      <c r="B230" s="319" t="s">
        <v>4413</v>
      </c>
      <c r="C230" s="320" t="s">
        <v>3740</v>
      </c>
      <c r="D230" s="771"/>
      <c r="E230" s="771" t="str">
        <f>+B229</f>
        <v>PDA302</v>
      </c>
      <c r="F230" s="334">
        <v>-3220276.47</v>
      </c>
      <c r="G230" s="334">
        <v>-2676155.84</v>
      </c>
    </row>
    <row r="231" spans="1:7">
      <c r="A231" s="767" t="s">
        <v>1963</v>
      </c>
      <c r="B231" s="317" t="s">
        <v>3432</v>
      </c>
      <c r="C231" s="317" t="s">
        <v>3433</v>
      </c>
      <c r="D231" s="328"/>
      <c r="E231" s="328"/>
      <c r="F231" s="333"/>
      <c r="G231" s="333"/>
    </row>
    <row r="232" spans="1:7">
      <c r="A232" s="319">
        <v>4</v>
      </c>
      <c r="B232" s="319" t="s">
        <v>4414</v>
      </c>
      <c r="C232" s="320" t="s">
        <v>3741</v>
      </c>
      <c r="D232" s="771"/>
      <c r="E232" s="771" t="str">
        <f>+B231</f>
        <v>PDA310</v>
      </c>
      <c r="F232" s="334"/>
      <c r="G232" s="334"/>
    </row>
    <row r="233" spans="1:7">
      <c r="A233" s="319">
        <v>4</v>
      </c>
      <c r="B233" s="319" t="s">
        <v>4415</v>
      </c>
      <c r="C233" s="320" t="s">
        <v>3742</v>
      </c>
      <c r="D233" s="771"/>
      <c r="E233" s="771" t="str">
        <f>+E232</f>
        <v>PDA310</v>
      </c>
      <c r="F233" s="334"/>
      <c r="G233" s="334"/>
    </row>
    <row r="234" spans="1:7">
      <c r="A234" s="767" t="s">
        <v>1963</v>
      </c>
      <c r="B234" s="317" t="s">
        <v>3434</v>
      </c>
      <c r="C234" s="317" t="s">
        <v>3435</v>
      </c>
      <c r="D234" s="328"/>
      <c r="E234" s="328"/>
      <c r="F234" s="333"/>
      <c r="G234" s="333"/>
    </row>
    <row r="235" spans="1:7">
      <c r="A235" s="319">
        <v>4</v>
      </c>
      <c r="B235" s="319" t="s">
        <v>4416</v>
      </c>
      <c r="C235" s="320" t="s">
        <v>115</v>
      </c>
      <c r="D235" s="771"/>
      <c r="E235" s="771" t="str">
        <f>+B234</f>
        <v>PDA320</v>
      </c>
      <c r="F235" s="334"/>
      <c r="G235" s="334">
        <v>166456.83359999271</v>
      </c>
    </row>
    <row r="236" spans="1:7">
      <c r="A236" s="319">
        <v>4</v>
      </c>
      <c r="B236" s="319" t="s">
        <v>4417</v>
      </c>
      <c r="C236" s="320" t="s">
        <v>110</v>
      </c>
      <c r="D236" s="771"/>
      <c r="E236" s="771" t="str">
        <f>+E235</f>
        <v>PDA320</v>
      </c>
      <c r="F236" s="334">
        <v>152530.41</v>
      </c>
      <c r="G236" s="334">
        <v>148387.79</v>
      </c>
    </row>
    <row r="237" spans="1:7">
      <c r="A237" s="319">
        <v>4</v>
      </c>
      <c r="B237" s="319" t="s">
        <v>4418</v>
      </c>
      <c r="C237" s="320" t="s">
        <v>3743</v>
      </c>
      <c r="D237" s="771"/>
      <c r="E237" s="771" t="str">
        <f>+E236</f>
        <v>PDA320</v>
      </c>
      <c r="F237" s="334">
        <v>292032.12</v>
      </c>
      <c r="G237" s="334">
        <v>270022.09000000003</v>
      </c>
    </row>
    <row r="238" spans="1:7">
      <c r="A238" s="319">
        <v>4</v>
      </c>
      <c r="B238" s="319" t="s">
        <v>4419</v>
      </c>
      <c r="C238" s="320" t="s">
        <v>3744</v>
      </c>
      <c r="D238" s="771"/>
      <c r="E238" s="771" t="str">
        <f>+E237</f>
        <v>PDA320</v>
      </c>
      <c r="F238" s="334">
        <v>388367.37</v>
      </c>
      <c r="G238" s="334">
        <v>231916.06</v>
      </c>
    </row>
    <row r="239" spans="1:7">
      <c r="A239" s="319">
        <v>4</v>
      </c>
      <c r="B239" s="319" t="s">
        <v>4420</v>
      </c>
      <c r="C239" s="320" t="s">
        <v>3745</v>
      </c>
      <c r="D239" s="771"/>
      <c r="E239" s="771" t="str">
        <f t="shared" ref="E239:E240" si="5">+E238</f>
        <v>PDA320</v>
      </c>
      <c r="F239" s="334"/>
      <c r="G239" s="334">
        <v>0</v>
      </c>
    </row>
    <row r="240" spans="1:7">
      <c r="A240" s="319">
        <v>4</v>
      </c>
      <c r="B240" s="319" t="s">
        <v>4421</v>
      </c>
      <c r="C240" s="320" t="s">
        <v>3746</v>
      </c>
      <c r="D240" s="771"/>
      <c r="E240" s="771" t="str">
        <f t="shared" si="5"/>
        <v>PDA320</v>
      </c>
      <c r="F240" s="334"/>
      <c r="G240" s="334">
        <v>0</v>
      </c>
    </row>
    <row r="241" spans="1:7">
      <c r="A241" s="319">
        <v>4</v>
      </c>
      <c r="B241" s="319" t="s">
        <v>4422</v>
      </c>
      <c r="C241" s="320" t="s">
        <v>4423</v>
      </c>
      <c r="D241" s="771"/>
      <c r="E241" s="771" t="str">
        <f>+E240</f>
        <v>PDA320</v>
      </c>
      <c r="F241" s="334"/>
      <c r="G241" s="334">
        <v>0</v>
      </c>
    </row>
    <row r="242" spans="1:7">
      <c r="A242" s="319">
        <v>4</v>
      </c>
      <c r="B242" s="319" t="s">
        <v>4424</v>
      </c>
      <c r="C242" s="320" t="s">
        <v>3747</v>
      </c>
      <c r="D242" s="771"/>
      <c r="E242" s="771" t="str">
        <f t="shared" ref="E242:E246" si="6">+E241</f>
        <v>PDA320</v>
      </c>
      <c r="F242" s="334"/>
      <c r="G242" s="334"/>
    </row>
    <row r="243" spans="1:7">
      <c r="A243" s="319">
        <v>4</v>
      </c>
      <c r="B243" s="319" t="s">
        <v>4425</v>
      </c>
      <c r="C243" s="320" t="s">
        <v>3748</v>
      </c>
      <c r="D243" s="771"/>
      <c r="E243" s="771" t="str">
        <f t="shared" si="6"/>
        <v>PDA320</v>
      </c>
      <c r="F243" s="334"/>
      <c r="G243" s="334">
        <v>0</v>
      </c>
    </row>
    <row r="244" spans="1:7">
      <c r="A244" s="319">
        <v>4</v>
      </c>
      <c r="B244" s="319" t="s">
        <v>4426</v>
      </c>
      <c r="C244" s="320" t="s">
        <v>4427</v>
      </c>
      <c r="D244" s="771"/>
      <c r="E244" s="771" t="str">
        <f t="shared" si="6"/>
        <v>PDA320</v>
      </c>
      <c r="F244" s="334">
        <v>456053.72</v>
      </c>
      <c r="G244" s="334">
        <v>855755.47</v>
      </c>
    </row>
    <row r="245" spans="1:7">
      <c r="A245" s="319">
        <v>4</v>
      </c>
      <c r="B245" s="319" t="s">
        <v>4428</v>
      </c>
      <c r="C245" s="320" t="s">
        <v>4429</v>
      </c>
      <c r="D245" s="771"/>
      <c r="E245" s="771" t="str">
        <f t="shared" si="6"/>
        <v>PDA320</v>
      </c>
      <c r="F245" s="334"/>
      <c r="G245" s="334">
        <v>0</v>
      </c>
    </row>
    <row r="246" spans="1:7">
      <c r="A246" s="319">
        <v>4</v>
      </c>
      <c r="B246" s="319" t="s">
        <v>4430</v>
      </c>
      <c r="C246" s="320" t="s">
        <v>3749</v>
      </c>
      <c r="D246" s="771"/>
      <c r="E246" s="771" t="str">
        <f t="shared" si="6"/>
        <v>PDA320</v>
      </c>
      <c r="F246" s="334">
        <v>12359.08</v>
      </c>
      <c r="G246" s="334">
        <v>6769.22</v>
      </c>
    </row>
    <row r="247" spans="1:7">
      <c r="A247" s="767" t="s">
        <v>1963</v>
      </c>
      <c r="B247" s="317" t="s">
        <v>3436</v>
      </c>
      <c r="C247" s="317" t="s">
        <v>3437</v>
      </c>
      <c r="D247" s="328"/>
      <c r="E247" s="328"/>
      <c r="F247" s="333"/>
      <c r="G247" s="333"/>
    </row>
    <row r="248" spans="1:7">
      <c r="A248" s="319">
        <v>4</v>
      </c>
      <c r="B248" s="319" t="s">
        <v>4431</v>
      </c>
      <c r="C248" s="320" t="s">
        <v>3750</v>
      </c>
      <c r="D248" s="771"/>
      <c r="E248" s="771" t="str">
        <f>+B247</f>
        <v>PDA330</v>
      </c>
      <c r="F248" s="334">
        <v>480543.69</v>
      </c>
      <c r="G248" s="334">
        <v>423510.51</v>
      </c>
    </row>
    <row r="249" spans="1:7">
      <c r="A249" s="319">
        <v>4</v>
      </c>
      <c r="B249" s="319" t="s">
        <v>4432</v>
      </c>
      <c r="C249" s="320" t="s">
        <v>3751</v>
      </c>
      <c r="D249" s="771"/>
      <c r="E249" s="771" t="str">
        <f>+E248</f>
        <v>PDA330</v>
      </c>
      <c r="F249" s="334">
        <v>4830.79</v>
      </c>
      <c r="G249" s="334">
        <v>5510.58</v>
      </c>
    </row>
    <row r="250" spans="1:7">
      <c r="A250" s="319">
        <v>4</v>
      </c>
      <c r="B250" s="319" t="s">
        <v>4433</v>
      </c>
      <c r="C250" s="320" t="s">
        <v>3752</v>
      </c>
      <c r="D250" s="771"/>
      <c r="E250" s="771" t="str">
        <f>+E249</f>
        <v>PDA330</v>
      </c>
      <c r="F250" s="334">
        <v>3040.28</v>
      </c>
      <c r="G250" s="334">
        <v>6768.2</v>
      </c>
    </row>
    <row r="251" spans="1:7">
      <c r="A251" s="319">
        <v>4</v>
      </c>
      <c r="B251" s="319" t="s">
        <v>4434</v>
      </c>
      <c r="C251" s="320" t="s">
        <v>3753</v>
      </c>
      <c r="D251" s="771"/>
      <c r="E251" s="771" t="str">
        <f>+E250</f>
        <v>PDA330</v>
      </c>
      <c r="F251" s="334"/>
      <c r="G251" s="334"/>
    </row>
    <row r="252" spans="1:7">
      <c r="A252" s="319">
        <v>4</v>
      </c>
      <c r="B252" s="319" t="s">
        <v>4435</v>
      </c>
      <c r="C252" s="320" t="s">
        <v>3754</v>
      </c>
      <c r="D252" s="771"/>
      <c r="E252" s="771" t="str">
        <f t="shared" ref="E252:E253" si="7">+E251</f>
        <v>PDA330</v>
      </c>
      <c r="F252" s="334"/>
      <c r="G252" s="334"/>
    </row>
    <row r="253" spans="1:7">
      <c r="A253" s="319">
        <v>4</v>
      </c>
      <c r="B253" s="319" t="s">
        <v>4436</v>
      </c>
      <c r="C253" s="320" t="s">
        <v>3755</v>
      </c>
      <c r="D253" s="771"/>
      <c r="E253" s="771" t="str">
        <f t="shared" si="7"/>
        <v>PDA330</v>
      </c>
      <c r="F253" s="334">
        <v>1689.79</v>
      </c>
      <c r="G253" s="334">
        <v>1291.27</v>
      </c>
    </row>
    <row r="254" spans="1:7">
      <c r="A254" s="319">
        <v>4</v>
      </c>
      <c r="B254" s="319" t="s">
        <v>4437</v>
      </c>
      <c r="C254" s="320" t="s">
        <v>3756</v>
      </c>
      <c r="D254" s="771"/>
      <c r="E254" s="771" t="str">
        <f>+E253</f>
        <v>PDA330</v>
      </c>
      <c r="F254" s="334"/>
      <c r="G254" s="334"/>
    </row>
    <row r="255" spans="1:7">
      <c r="A255" s="319">
        <v>4</v>
      </c>
      <c r="B255" s="319" t="s">
        <v>4438</v>
      </c>
      <c r="C255" s="320" t="s">
        <v>3757</v>
      </c>
      <c r="D255" s="771"/>
      <c r="E255" s="771" t="str">
        <f t="shared" ref="E255:E256" si="8">+E254</f>
        <v>PDA330</v>
      </c>
      <c r="F255" s="334"/>
      <c r="G255" s="334"/>
    </row>
    <row r="256" spans="1:7">
      <c r="A256" s="319">
        <v>4</v>
      </c>
      <c r="B256" s="319" t="s">
        <v>4439</v>
      </c>
      <c r="C256" s="320" t="s">
        <v>4440</v>
      </c>
      <c r="D256" s="771"/>
      <c r="E256" s="771" t="str">
        <f t="shared" si="8"/>
        <v>PDA330</v>
      </c>
      <c r="F256" s="334">
        <v>8730.81</v>
      </c>
      <c r="G256" s="334">
        <v>5266.26</v>
      </c>
    </row>
    <row r="257" spans="1:7">
      <c r="A257" s="767" t="s">
        <v>1963</v>
      </c>
      <c r="B257" s="317" t="s">
        <v>3438</v>
      </c>
      <c r="C257" s="317" t="s">
        <v>3439</v>
      </c>
      <c r="D257" s="328"/>
      <c r="E257" s="328"/>
      <c r="F257" s="333"/>
      <c r="G257" s="333"/>
    </row>
    <row r="258" spans="1:7">
      <c r="A258" s="767" t="s">
        <v>1965</v>
      </c>
      <c r="B258" s="317" t="s">
        <v>3440</v>
      </c>
      <c r="C258" s="317" t="s">
        <v>3441</v>
      </c>
      <c r="D258" s="328"/>
      <c r="E258" s="328"/>
      <c r="F258" s="333"/>
      <c r="G258" s="333"/>
    </row>
    <row r="259" spans="1:7">
      <c r="A259" s="319">
        <v>5</v>
      </c>
      <c r="B259" s="319" t="s">
        <v>4441</v>
      </c>
      <c r="C259" s="782" t="s">
        <v>3758</v>
      </c>
      <c r="D259" s="771"/>
      <c r="E259" s="771" t="str">
        <f>+B258</f>
        <v>PDA350</v>
      </c>
      <c r="F259" s="334"/>
      <c r="G259" s="334"/>
    </row>
    <row r="260" spans="1:7">
      <c r="A260" s="767" t="s">
        <v>1965</v>
      </c>
      <c r="B260" s="317" t="s">
        <v>3442</v>
      </c>
      <c r="C260" s="317" t="s">
        <v>3443</v>
      </c>
      <c r="D260" s="328"/>
      <c r="E260" s="328"/>
      <c r="F260" s="333"/>
      <c r="G260" s="333"/>
    </row>
    <row r="261" spans="1:7">
      <c r="A261" s="319">
        <v>5</v>
      </c>
      <c r="B261" s="319" t="s">
        <v>4442</v>
      </c>
      <c r="C261" s="320" t="s">
        <v>4443</v>
      </c>
      <c r="D261" s="771"/>
      <c r="E261" s="771" t="str">
        <f>+B260</f>
        <v>PDA360</v>
      </c>
      <c r="F261" s="334">
        <v>130103.31</v>
      </c>
      <c r="G261" s="334">
        <v>110694.47</v>
      </c>
    </row>
    <row r="262" spans="1:7">
      <c r="A262" s="319">
        <v>5</v>
      </c>
      <c r="B262" s="319" t="s">
        <v>4444</v>
      </c>
      <c r="C262" s="320" t="s">
        <v>3759</v>
      </c>
      <c r="D262" s="771"/>
      <c r="E262" s="771" t="str">
        <f>+E261</f>
        <v>PDA360</v>
      </c>
      <c r="F262" s="334">
        <v>1971693.08</v>
      </c>
      <c r="G262" s="334">
        <v>1724803.68</v>
      </c>
    </row>
    <row r="263" spans="1:7">
      <c r="A263" s="767" t="s">
        <v>1965</v>
      </c>
      <c r="B263" s="317" t="s">
        <v>3444</v>
      </c>
      <c r="C263" s="317" t="s">
        <v>3445</v>
      </c>
      <c r="D263" s="328"/>
      <c r="E263" s="328"/>
      <c r="F263" s="333"/>
      <c r="G263" s="333"/>
    </row>
    <row r="264" spans="1:7">
      <c r="A264" s="319">
        <v>5</v>
      </c>
      <c r="B264" s="319" t="s">
        <v>4445</v>
      </c>
      <c r="C264" s="320" t="s">
        <v>3760</v>
      </c>
      <c r="D264" s="771"/>
      <c r="E264" s="771" t="str">
        <f>+B263</f>
        <v>PDA370</v>
      </c>
      <c r="F264" s="334"/>
      <c r="G264" s="334"/>
    </row>
    <row r="265" spans="1:7">
      <c r="A265" s="319">
        <v>5</v>
      </c>
      <c r="B265" s="319" t="s">
        <v>4446</v>
      </c>
      <c r="C265" s="320" t="s">
        <v>3761</v>
      </c>
      <c r="D265" s="771"/>
      <c r="E265" s="771" t="str">
        <f>+E264</f>
        <v>PDA370</v>
      </c>
      <c r="F265" s="334"/>
      <c r="G265" s="334"/>
    </row>
    <row r="266" spans="1:7">
      <c r="A266" s="767" t="s">
        <v>1965</v>
      </c>
      <c r="B266" s="317" t="s">
        <v>3446</v>
      </c>
      <c r="C266" s="317" t="s">
        <v>3447</v>
      </c>
      <c r="D266" s="328"/>
      <c r="E266" s="328"/>
      <c r="F266" s="333"/>
      <c r="G266" s="333"/>
    </row>
    <row r="267" spans="1:7">
      <c r="A267" s="319">
        <v>5</v>
      </c>
      <c r="B267" s="319" t="s">
        <v>4447</v>
      </c>
      <c r="C267" s="320" t="s">
        <v>3762</v>
      </c>
      <c r="D267" s="771"/>
      <c r="E267" s="771" t="str">
        <f>+B266</f>
        <v>PDA380</v>
      </c>
      <c r="F267" s="334">
        <v>911358.26</v>
      </c>
      <c r="G267" s="334">
        <v>606915.66</v>
      </c>
    </row>
    <row r="268" spans="1:7">
      <c r="A268" s="319">
        <v>5</v>
      </c>
      <c r="B268" s="319" t="s">
        <v>4448</v>
      </c>
      <c r="C268" s="320" t="s">
        <v>3763</v>
      </c>
      <c r="D268" s="771"/>
      <c r="E268" s="771" t="str">
        <f>+E267</f>
        <v>PDA380</v>
      </c>
      <c r="F268" s="334"/>
      <c r="G268" s="334"/>
    </row>
    <row r="269" spans="1:7">
      <c r="A269" s="319">
        <v>5</v>
      </c>
      <c r="B269" s="319" t="s">
        <v>4449</v>
      </c>
      <c r="C269" s="320" t="s">
        <v>3764</v>
      </c>
      <c r="D269" s="771"/>
      <c r="E269" s="771" t="str">
        <f>+E268</f>
        <v>PDA380</v>
      </c>
      <c r="F269" s="334"/>
      <c r="G269" s="334"/>
    </row>
    <row r="270" spans="1:7">
      <c r="A270" s="319">
        <v>5</v>
      </c>
      <c r="B270" s="319" t="s">
        <v>4450</v>
      </c>
      <c r="C270" s="320" t="s">
        <v>3765</v>
      </c>
      <c r="D270" s="771"/>
      <c r="E270" s="771" t="str">
        <f>+E269</f>
        <v>PDA380</v>
      </c>
      <c r="F270" s="334">
        <v>8300.3799999999992</v>
      </c>
      <c r="G270" s="334">
        <v>7717.05</v>
      </c>
    </row>
    <row r="271" spans="1:7">
      <c r="A271" s="322">
        <v>5</v>
      </c>
      <c r="B271" s="322" t="s">
        <v>4451</v>
      </c>
      <c r="C271" s="323" t="s">
        <v>4452</v>
      </c>
      <c r="D271" s="331"/>
      <c r="E271" s="331"/>
      <c r="F271" s="778"/>
      <c r="G271" s="778"/>
    </row>
    <row r="272" spans="1:7">
      <c r="A272" s="319">
        <v>6</v>
      </c>
      <c r="B272" s="319" t="s">
        <v>4453</v>
      </c>
      <c r="C272" s="320" t="s">
        <v>3766</v>
      </c>
      <c r="D272" s="771"/>
      <c r="E272" s="771" t="str">
        <f>+B266</f>
        <v>PDA380</v>
      </c>
      <c r="F272" s="334"/>
      <c r="G272" s="334"/>
    </row>
    <row r="273" spans="1:7">
      <c r="A273" s="319">
        <v>6</v>
      </c>
      <c r="B273" s="319" t="s">
        <v>4454</v>
      </c>
      <c r="C273" s="320" t="s">
        <v>3767</v>
      </c>
      <c r="D273" s="771"/>
      <c r="E273" s="771" t="str">
        <f>+E272</f>
        <v>PDA380</v>
      </c>
      <c r="F273" s="334"/>
      <c r="G273" s="334"/>
    </row>
    <row r="274" spans="1:7">
      <c r="A274" s="319">
        <v>5</v>
      </c>
      <c r="B274" s="319" t="s">
        <v>4455</v>
      </c>
      <c r="C274" s="320" t="s">
        <v>3768</v>
      </c>
      <c r="D274" s="771"/>
      <c r="E274" s="771" t="str">
        <f t="shared" ref="E274:E276" si="9">+E273</f>
        <v>PDA380</v>
      </c>
      <c r="F274" s="334">
        <v>189442.08</v>
      </c>
      <c r="G274" s="334">
        <v>162164.73000000001</v>
      </c>
    </row>
    <row r="275" spans="1:7">
      <c r="A275" s="319">
        <v>5</v>
      </c>
      <c r="B275" s="319" t="s">
        <v>4456</v>
      </c>
      <c r="C275" s="320" t="s">
        <v>3769</v>
      </c>
      <c r="D275" s="771"/>
      <c r="E275" s="771" t="str">
        <f t="shared" si="9"/>
        <v>PDA380</v>
      </c>
      <c r="F275" s="334"/>
      <c r="G275" s="334"/>
    </row>
    <row r="276" spans="1:7">
      <c r="A276" s="319">
        <v>5</v>
      </c>
      <c r="B276" s="319" t="s">
        <v>4457</v>
      </c>
      <c r="C276" s="320" t="s">
        <v>3770</v>
      </c>
      <c r="D276" s="771"/>
      <c r="E276" s="771" t="str">
        <f t="shared" si="9"/>
        <v>PDA380</v>
      </c>
      <c r="F276" s="334"/>
      <c r="G276" s="334"/>
    </row>
    <row r="277" spans="1:7">
      <c r="A277" s="322">
        <v>5</v>
      </c>
      <c r="B277" s="322" t="s">
        <v>4458</v>
      </c>
      <c r="C277" s="323" t="s">
        <v>4459</v>
      </c>
      <c r="D277" s="331"/>
      <c r="E277" s="331"/>
      <c r="F277" s="778"/>
      <c r="G277" s="778"/>
    </row>
    <row r="278" spans="1:7">
      <c r="A278" s="319">
        <v>6</v>
      </c>
      <c r="B278" s="319" t="s">
        <v>4460</v>
      </c>
      <c r="C278" s="320" t="s">
        <v>3771</v>
      </c>
      <c r="D278" s="771"/>
      <c r="E278" s="771" t="str">
        <f>+B266</f>
        <v>PDA380</v>
      </c>
      <c r="F278" s="334">
        <v>3612.51</v>
      </c>
      <c r="G278" s="334">
        <v>1615.78</v>
      </c>
    </row>
    <row r="279" spans="1:7">
      <c r="A279" s="319">
        <v>6</v>
      </c>
      <c r="B279" s="319" t="s">
        <v>4461</v>
      </c>
      <c r="C279" s="320" t="s">
        <v>3772</v>
      </c>
      <c r="D279" s="771"/>
      <c r="E279" s="771" t="str">
        <f>+E278</f>
        <v>PDA380</v>
      </c>
      <c r="F279" s="334">
        <v>299905.84000000003</v>
      </c>
      <c r="G279" s="334">
        <v>313694.75</v>
      </c>
    </row>
    <row r="280" spans="1:7">
      <c r="A280" s="319">
        <v>5</v>
      </c>
      <c r="B280" s="319" t="s">
        <v>4462</v>
      </c>
      <c r="C280" s="320" t="s">
        <v>3773</v>
      </c>
      <c r="D280" s="771"/>
      <c r="E280" s="771" t="str">
        <f t="shared" ref="E280:E281" si="10">+E279</f>
        <v>PDA380</v>
      </c>
      <c r="F280" s="334">
        <v>79883.03</v>
      </c>
      <c r="G280" s="334">
        <v>103201.59</v>
      </c>
    </row>
    <row r="281" spans="1:7">
      <c r="A281" s="319">
        <v>5</v>
      </c>
      <c r="B281" s="319" t="s">
        <v>4463</v>
      </c>
      <c r="C281" s="320" t="s">
        <v>4464</v>
      </c>
      <c r="D281" s="771"/>
      <c r="E281" s="771" t="str">
        <f t="shared" si="10"/>
        <v>PDA380</v>
      </c>
      <c r="F281" s="334">
        <v>552648.27</v>
      </c>
      <c r="G281" s="334">
        <v>251260.98</v>
      </c>
    </row>
    <row r="282" spans="1:7">
      <c r="A282" s="322">
        <v>5</v>
      </c>
      <c r="B282" s="322" t="s">
        <v>4465</v>
      </c>
      <c r="C282" s="323" t="s">
        <v>3774</v>
      </c>
      <c r="D282" s="331"/>
      <c r="E282" s="331"/>
      <c r="F282" s="778"/>
      <c r="G282" s="778"/>
    </row>
    <row r="283" spans="1:7">
      <c r="A283" s="319">
        <v>6</v>
      </c>
      <c r="B283" s="319" t="s">
        <v>4466</v>
      </c>
      <c r="C283" s="320" t="s">
        <v>4467</v>
      </c>
      <c r="D283" s="771"/>
      <c r="E283" s="771" t="str">
        <f>+B266</f>
        <v>PDA380</v>
      </c>
      <c r="F283" s="334"/>
      <c r="G283" s="334"/>
    </row>
    <row r="284" spans="1:7">
      <c r="A284" s="319">
        <v>6</v>
      </c>
      <c r="B284" s="319" t="s">
        <v>4468</v>
      </c>
      <c r="C284" s="320" t="s">
        <v>4469</v>
      </c>
      <c r="D284" s="771"/>
      <c r="E284" s="771" t="str">
        <f>+E283</f>
        <v>PDA380</v>
      </c>
      <c r="F284" s="334">
        <v>176436.08</v>
      </c>
      <c r="G284" s="334">
        <v>1037608.48</v>
      </c>
    </row>
    <row r="285" spans="1:7">
      <c r="A285" s="319">
        <v>5</v>
      </c>
      <c r="B285" s="319" t="s">
        <v>4470</v>
      </c>
      <c r="C285" s="320" t="s">
        <v>3775</v>
      </c>
      <c r="D285" s="771"/>
      <c r="E285" s="771" t="str">
        <f t="shared" ref="E285:E286" si="11">+E284</f>
        <v>PDA380</v>
      </c>
      <c r="F285" s="334">
        <v>14650.37</v>
      </c>
      <c r="G285" s="334">
        <v>9812.49</v>
      </c>
    </row>
    <row r="286" spans="1:7">
      <c r="A286" s="319">
        <v>5</v>
      </c>
      <c r="B286" s="319" t="s">
        <v>4471</v>
      </c>
      <c r="C286" s="320" t="s">
        <v>3776</v>
      </c>
      <c r="D286" s="771"/>
      <c r="E286" s="771" t="str">
        <f t="shared" si="11"/>
        <v>PDA380</v>
      </c>
      <c r="F286" s="334">
        <v>-1074.46</v>
      </c>
      <c r="G286" s="334">
        <v>0</v>
      </c>
    </row>
    <row r="287" spans="1:7">
      <c r="A287" s="767" t="s">
        <v>1960</v>
      </c>
      <c r="B287" s="317" t="s">
        <v>3448</v>
      </c>
      <c r="C287" s="317" t="s">
        <v>3449</v>
      </c>
      <c r="D287" s="328"/>
      <c r="E287" s="328"/>
      <c r="F287" s="333"/>
      <c r="G287" s="333"/>
    </row>
    <row r="288" spans="1:7">
      <c r="A288" s="767" t="s">
        <v>1963</v>
      </c>
      <c r="B288" s="317" t="s">
        <v>3450</v>
      </c>
      <c r="C288" s="317" t="s">
        <v>3451</v>
      </c>
      <c r="D288" s="328"/>
      <c r="E288" s="328"/>
      <c r="F288" s="333"/>
      <c r="G288" s="333"/>
    </row>
    <row r="289" spans="1:7">
      <c r="A289" s="767" t="s">
        <v>1965</v>
      </c>
      <c r="B289" s="317" t="s">
        <v>3452</v>
      </c>
      <c r="C289" s="317" t="s">
        <v>3453</v>
      </c>
      <c r="D289" s="328"/>
      <c r="E289" s="328"/>
      <c r="F289" s="333"/>
      <c r="G289" s="333"/>
    </row>
    <row r="290" spans="1:7">
      <c r="A290" s="319" t="s">
        <v>1967</v>
      </c>
      <c r="B290" s="319" t="s">
        <v>4472</v>
      </c>
      <c r="C290" s="320" t="s">
        <v>2828</v>
      </c>
      <c r="D290" s="771"/>
      <c r="E290" s="771" t="str">
        <f>+B289</f>
        <v>PEA010</v>
      </c>
      <c r="F290" s="334"/>
      <c r="G290" s="334"/>
    </row>
    <row r="291" spans="1:7">
      <c r="A291" s="767" t="s">
        <v>1965</v>
      </c>
      <c r="B291" s="317" t="s">
        <v>3454</v>
      </c>
      <c r="C291" s="317" t="s">
        <v>3455</v>
      </c>
      <c r="D291" s="328" t="s">
        <v>1248</v>
      </c>
      <c r="E291" s="328"/>
      <c r="F291" s="333"/>
      <c r="G291" s="333"/>
    </row>
    <row r="292" spans="1:7">
      <c r="A292" s="319" t="s">
        <v>1967</v>
      </c>
      <c r="B292" s="319" t="s">
        <v>4473</v>
      </c>
      <c r="C292" s="320" t="s">
        <v>3777</v>
      </c>
      <c r="D292" s="771" t="s">
        <v>1248</v>
      </c>
      <c r="E292" s="771" t="str">
        <f>+B291</f>
        <v>PEA020</v>
      </c>
      <c r="F292" s="334"/>
      <c r="G292" s="334"/>
    </row>
    <row r="293" spans="1:7">
      <c r="A293" s="767" t="s">
        <v>1963</v>
      </c>
      <c r="B293" s="317" t="s">
        <v>3456</v>
      </c>
      <c r="C293" s="317" t="s">
        <v>3457</v>
      </c>
      <c r="D293" s="328"/>
      <c r="E293" s="328"/>
      <c r="F293" s="333"/>
      <c r="G293" s="333"/>
    </row>
    <row r="294" spans="1:7">
      <c r="A294" s="767" t="s">
        <v>1965</v>
      </c>
      <c r="B294" s="317" t="s">
        <v>3458</v>
      </c>
      <c r="C294" s="317" t="s">
        <v>3459</v>
      </c>
      <c r="D294" s="328"/>
      <c r="E294" s="328"/>
      <c r="F294" s="333"/>
      <c r="G294" s="333"/>
    </row>
    <row r="295" spans="1:7">
      <c r="A295" s="319" t="s">
        <v>1967</v>
      </c>
      <c r="B295" s="319" t="s">
        <v>4474</v>
      </c>
      <c r="C295" s="320" t="s">
        <v>2829</v>
      </c>
      <c r="D295" s="771"/>
      <c r="E295" s="771" t="str">
        <f>+B294</f>
        <v>PEA040</v>
      </c>
      <c r="F295" s="334"/>
      <c r="G295" s="334"/>
    </row>
    <row r="296" spans="1:7">
      <c r="A296" s="767" t="s">
        <v>1965</v>
      </c>
      <c r="B296" s="317" t="s">
        <v>3460</v>
      </c>
      <c r="C296" s="317" t="s">
        <v>3461</v>
      </c>
      <c r="D296" s="328" t="s">
        <v>1248</v>
      </c>
      <c r="E296" s="328"/>
      <c r="F296" s="333"/>
      <c r="G296" s="333"/>
    </row>
    <row r="297" spans="1:7">
      <c r="A297" s="319" t="s">
        <v>1967</v>
      </c>
      <c r="B297" s="319" t="s">
        <v>4475</v>
      </c>
      <c r="C297" s="320" t="s">
        <v>3778</v>
      </c>
      <c r="D297" s="771" t="s">
        <v>1248</v>
      </c>
      <c r="E297" s="771" t="str">
        <f>+B296</f>
        <v>PEA050</v>
      </c>
      <c r="F297" s="334"/>
      <c r="G297" s="334"/>
    </row>
    <row r="298" spans="1:7" ht="25.5">
      <c r="A298" s="767" t="s">
        <v>1965</v>
      </c>
      <c r="B298" s="317" t="s">
        <v>3462</v>
      </c>
      <c r="C298" s="317" t="s">
        <v>4476</v>
      </c>
      <c r="D298" s="328"/>
      <c r="E298" s="328"/>
      <c r="F298" s="333"/>
      <c r="G298" s="333"/>
    </row>
    <row r="299" spans="1:7" ht="24">
      <c r="A299" s="319" t="s">
        <v>1967</v>
      </c>
      <c r="B299" s="319" t="s">
        <v>4477</v>
      </c>
      <c r="C299" s="320" t="s">
        <v>4478</v>
      </c>
      <c r="D299" s="771"/>
      <c r="E299" s="771" t="str">
        <f>+B298</f>
        <v>PEA060</v>
      </c>
      <c r="F299" s="334"/>
      <c r="G299" s="334"/>
    </row>
    <row r="300" spans="1:7">
      <c r="A300" s="776" t="s">
        <v>1960</v>
      </c>
      <c r="B300" s="779" t="s">
        <v>3464</v>
      </c>
      <c r="C300" s="779" t="s">
        <v>3465</v>
      </c>
      <c r="D300" s="780"/>
      <c r="E300" s="780"/>
      <c r="F300" s="781">
        <f>+SUM(F2:F299)</f>
        <v>243721454.91000018</v>
      </c>
      <c r="G300" s="781">
        <v>249702444.95359981</v>
      </c>
    </row>
    <row r="301" spans="1:7">
      <c r="A301" s="767" t="s">
        <v>1960</v>
      </c>
      <c r="B301" s="317" t="s">
        <v>3466</v>
      </c>
      <c r="C301" s="317" t="s">
        <v>3467</v>
      </c>
      <c r="D301" s="328"/>
      <c r="E301" s="328"/>
      <c r="F301" s="333"/>
      <c r="G301" s="333"/>
    </row>
    <row r="302" spans="1:7">
      <c r="A302" s="767" t="s">
        <v>1963</v>
      </c>
      <c r="B302" s="317" t="s">
        <v>3468</v>
      </c>
      <c r="C302" s="317" t="s">
        <v>3469</v>
      </c>
      <c r="D302" s="328"/>
      <c r="E302" s="328"/>
      <c r="F302" s="333"/>
      <c r="G302" s="333"/>
    </row>
    <row r="303" spans="1:7">
      <c r="A303" s="319" t="s">
        <v>1965</v>
      </c>
      <c r="B303" s="319" t="s">
        <v>4479</v>
      </c>
      <c r="C303" s="320" t="s">
        <v>4480</v>
      </c>
      <c r="D303" s="771"/>
      <c r="E303" s="771" t="str">
        <f>+B302</f>
        <v>PFA000</v>
      </c>
      <c r="F303" s="334"/>
      <c r="G303" s="334"/>
    </row>
    <row r="304" spans="1:7">
      <c r="A304" s="767" t="s">
        <v>1963</v>
      </c>
      <c r="B304" s="317" t="s">
        <v>3470</v>
      </c>
      <c r="C304" s="317" t="s">
        <v>3471</v>
      </c>
      <c r="D304" s="328"/>
      <c r="E304" s="328"/>
      <c r="F304" s="333"/>
      <c r="G304" s="333"/>
    </row>
    <row r="305" spans="1:7">
      <c r="A305" s="319" t="s">
        <v>1965</v>
      </c>
      <c r="B305" s="319" t="s">
        <v>4481</v>
      </c>
      <c r="C305" s="320" t="s">
        <v>4482</v>
      </c>
      <c r="D305" s="771"/>
      <c r="E305" s="771" t="str">
        <f>+B304</f>
        <v>PFA010</v>
      </c>
      <c r="F305" s="334"/>
      <c r="G305" s="334"/>
    </row>
    <row r="306" spans="1:7">
      <c r="A306" s="767" t="s">
        <v>1963</v>
      </c>
      <c r="B306" s="317" t="s">
        <v>3472</v>
      </c>
      <c r="C306" s="317" t="s">
        <v>3473</v>
      </c>
      <c r="D306" s="328"/>
      <c r="E306" s="328"/>
      <c r="F306" s="333"/>
      <c r="G306" s="333"/>
    </row>
    <row r="307" spans="1:7">
      <c r="A307" s="319" t="s">
        <v>1965</v>
      </c>
      <c r="B307" s="319" t="s">
        <v>4483</v>
      </c>
      <c r="C307" s="320" t="s">
        <v>4484</v>
      </c>
      <c r="D307" s="771"/>
      <c r="E307" s="771" t="str">
        <f>+B306</f>
        <v>PFA020</v>
      </c>
      <c r="F307" s="334">
        <v>347396.87</v>
      </c>
      <c r="G307" s="334">
        <v>347396.87</v>
      </c>
    </row>
    <row r="308" spans="1:7">
      <c r="A308" s="767" t="s">
        <v>1963</v>
      </c>
      <c r="B308" s="317" t="s">
        <v>3474</v>
      </c>
      <c r="C308" s="317" t="s">
        <v>3475</v>
      </c>
      <c r="D308" s="328"/>
      <c r="E308" s="328"/>
      <c r="F308" s="333"/>
      <c r="G308" s="333"/>
    </row>
    <row r="309" spans="1:7">
      <c r="A309" s="319" t="s">
        <v>1965</v>
      </c>
      <c r="B309" s="319" t="s">
        <v>4485</v>
      </c>
      <c r="C309" s="320" t="s">
        <v>4486</v>
      </c>
      <c r="D309" s="771"/>
      <c r="E309" s="771" t="str">
        <f>+B308</f>
        <v>PFA021</v>
      </c>
      <c r="F309" s="334"/>
      <c r="G309" s="334"/>
    </row>
    <row r="310" spans="1:7">
      <c r="A310" s="767" t="s">
        <v>1963</v>
      </c>
      <c r="B310" s="317" t="s">
        <v>3476</v>
      </c>
      <c r="C310" s="317" t="s">
        <v>3477</v>
      </c>
      <c r="D310" s="328"/>
      <c r="E310" s="328"/>
      <c r="F310" s="333"/>
      <c r="G310" s="333"/>
    </row>
    <row r="311" spans="1:7">
      <c r="A311" s="319">
        <v>4</v>
      </c>
      <c r="B311" s="319" t="s">
        <v>4487</v>
      </c>
      <c r="C311" s="320" t="s">
        <v>4488</v>
      </c>
      <c r="D311" s="771"/>
      <c r="E311" s="771" t="str">
        <f>+B310</f>
        <v>PFA030</v>
      </c>
      <c r="F311" s="334"/>
      <c r="G311" s="334"/>
    </row>
    <row r="312" spans="1:7">
      <c r="A312" s="319">
        <v>4</v>
      </c>
      <c r="B312" s="319" t="s">
        <v>4489</v>
      </c>
      <c r="C312" s="320" t="s">
        <v>4490</v>
      </c>
      <c r="D312" s="771"/>
      <c r="E312" s="771" t="str">
        <f>+E311</f>
        <v>PFA030</v>
      </c>
      <c r="F312" s="334"/>
      <c r="G312" s="334"/>
    </row>
    <row r="313" spans="1:7">
      <c r="A313" s="319">
        <v>4</v>
      </c>
      <c r="B313" s="319" t="s">
        <v>4491</v>
      </c>
      <c r="C313" s="320" t="s">
        <v>4492</v>
      </c>
      <c r="D313" s="771"/>
      <c r="E313" s="771" t="str">
        <f t="shared" ref="E313:E315" si="12">+E312</f>
        <v>PFA030</v>
      </c>
      <c r="F313" s="334"/>
      <c r="G313" s="334"/>
    </row>
    <row r="314" spans="1:7">
      <c r="A314" s="319">
        <v>4</v>
      </c>
      <c r="B314" s="319" t="s">
        <v>4493</v>
      </c>
      <c r="C314" s="320" t="s">
        <v>4494</v>
      </c>
      <c r="D314" s="771"/>
      <c r="E314" s="771" t="str">
        <f t="shared" si="12"/>
        <v>PFA030</v>
      </c>
      <c r="F314" s="334"/>
      <c r="G314" s="334"/>
    </row>
    <row r="315" spans="1:7">
      <c r="A315" s="319">
        <v>4</v>
      </c>
      <c r="B315" s="319" t="s">
        <v>4495</v>
      </c>
      <c r="C315" s="320" t="s">
        <v>4496</v>
      </c>
      <c r="D315" s="771"/>
      <c r="E315" s="771" t="str">
        <f t="shared" si="12"/>
        <v>PFA030</v>
      </c>
      <c r="F315" s="334"/>
      <c r="G315" s="334"/>
    </row>
    <row r="317" spans="1:7">
      <c r="F317" s="217">
        <f>+F300-'SP Att Alim'!F434</f>
        <v>0</v>
      </c>
    </row>
  </sheetData>
  <autoFilter ref="A1:G315"/>
  <conditionalFormatting sqref="C2:C258 C260:C3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54" workbookViewId="0">
      <selection activeCell="F104" sqref="F104"/>
    </sheetView>
  </sheetViews>
  <sheetFormatPr defaultRowHeight="12.75"/>
  <cols>
    <col min="1" max="1" width="6.28515625" style="737" customWidth="1"/>
    <col min="2" max="2" width="60.42578125" style="737" customWidth="1"/>
    <col min="3" max="3" width="15" style="816" customWidth="1"/>
    <col min="4" max="4" width="14.85546875" style="762" customWidth="1"/>
    <col min="5" max="5" width="12" style="736" bestFit="1" customWidth="1"/>
    <col min="6" max="6" width="85.28515625" style="736" bestFit="1" customWidth="1"/>
    <col min="7" max="251" width="8.85546875" style="737"/>
    <col min="252" max="252" width="6.28515625" style="737" customWidth="1"/>
    <col min="253" max="253" width="72.28515625" style="737" bestFit="1" customWidth="1"/>
    <col min="254" max="254" width="15" style="737" customWidth="1"/>
    <col min="255" max="255" width="14.85546875" style="737" customWidth="1"/>
    <col min="256" max="256" width="8.5703125" style="737" customWidth="1"/>
    <col min="257" max="507" width="8.85546875" style="737"/>
    <col min="508" max="508" width="6.28515625" style="737" customWidth="1"/>
    <col min="509" max="509" width="72.28515625" style="737" bestFit="1" customWidth="1"/>
    <col min="510" max="510" width="15" style="737" customWidth="1"/>
    <col min="511" max="511" width="14.85546875" style="737" customWidth="1"/>
    <col min="512" max="512" width="8.5703125" style="737" customWidth="1"/>
    <col min="513" max="763" width="8.85546875" style="737"/>
    <col min="764" max="764" width="6.28515625" style="737" customWidth="1"/>
    <col min="765" max="765" width="72.28515625" style="737" bestFit="1" customWidth="1"/>
    <col min="766" max="766" width="15" style="737" customWidth="1"/>
    <col min="767" max="767" width="14.85546875" style="737" customWidth="1"/>
    <col min="768" max="768" width="8.5703125" style="737" customWidth="1"/>
    <col min="769" max="1019" width="8.85546875" style="737"/>
    <col min="1020" max="1020" width="6.28515625" style="737" customWidth="1"/>
    <col min="1021" max="1021" width="72.28515625" style="737" bestFit="1" customWidth="1"/>
    <col min="1022" max="1022" width="15" style="737" customWidth="1"/>
    <col min="1023" max="1023" width="14.85546875" style="737" customWidth="1"/>
    <col min="1024" max="1024" width="8.5703125" style="737" customWidth="1"/>
    <col min="1025" max="1275" width="8.85546875" style="737"/>
    <col min="1276" max="1276" width="6.28515625" style="737" customWidth="1"/>
    <col min="1277" max="1277" width="72.28515625" style="737" bestFit="1" customWidth="1"/>
    <col min="1278" max="1278" width="15" style="737" customWidth="1"/>
    <col min="1279" max="1279" width="14.85546875" style="737" customWidth="1"/>
    <col min="1280" max="1280" width="8.5703125" style="737" customWidth="1"/>
    <col min="1281" max="1531" width="8.85546875" style="737"/>
    <col min="1532" max="1532" width="6.28515625" style="737" customWidth="1"/>
    <col min="1533" max="1533" width="72.28515625" style="737" bestFit="1" customWidth="1"/>
    <col min="1534" max="1534" width="15" style="737" customWidth="1"/>
    <col min="1535" max="1535" width="14.85546875" style="737" customWidth="1"/>
    <col min="1536" max="1536" width="8.5703125" style="737" customWidth="1"/>
    <col min="1537" max="1787" width="8.85546875" style="737"/>
    <col min="1788" max="1788" width="6.28515625" style="737" customWidth="1"/>
    <col min="1789" max="1789" width="72.28515625" style="737" bestFit="1" customWidth="1"/>
    <col min="1790" max="1790" width="15" style="737" customWidth="1"/>
    <col min="1791" max="1791" width="14.85546875" style="737" customWidth="1"/>
    <col min="1792" max="1792" width="8.5703125" style="737" customWidth="1"/>
    <col min="1793" max="2043" width="8.85546875" style="737"/>
    <col min="2044" max="2044" width="6.28515625" style="737" customWidth="1"/>
    <col min="2045" max="2045" width="72.28515625" style="737" bestFit="1" customWidth="1"/>
    <col min="2046" max="2046" width="15" style="737" customWidth="1"/>
    <col min="2047" max="2047" width="14.85546875" style="737" customWidth="1"/>
    <col min="2048" max="2048" width="8.5703125" style="737" customWidth="1"/>
    <col min="2049" max="2299" width="8.85546875" style="737"/>
    <col min="2300" max="2300" width="6.28515625" style="737" customWidth="1"/>
    <col min="2301" max="2301" width="72.28515625" style="737" bestFit="1" customWidth="1"/>
    <col min="2302" max="2302" width="15" style="737" customWidth="1"/>
    <col min="2303" max="2303" width="14.85546875" style="737" customWidth="1"/>
    <col min="2304" max="2304" width="8.5703125" style="737" customWidth="1"/>
    <col min="2305" max="2555" width="8.85546875" style="737"/>
    <col min="2556" max="2556" width="6.28515625" style="737" customWidth="1"/>
    <col min="2557" max="2557" width="72.28515625" style="737" bestFit="1" customWidth="1"/>
    <col min="2558" max="2558" width="15" style="737" customWidth="1"/>
    <col min="2559" max="2559" width="14.85546875" style="737" customWidth="1"/>
    <col min="2560" max="2560" width="8.5703125" style="737" customWidth="1"/>
    <col min="2561" max="2811" width="8.85546875" style="737"/>
    <col min="2812" max="2812" width="6.28515625" style="737" customWidth="1"/>
    <col min="2813" max="2813" width="72.28515625" style="737" bestFit="1" customWidth="1"/>
    <col min="2814" max="2814" width="15" style="737" customWidth="1"/>
    <col min="2815" max="2815" width="14.85546875" style="737" customWidth="1"/>
    <col min="2816" max="2816" width="8.5703125" style="737" customWidth="1"/>
    <col min="2817" max="3067" width="8.85546875" style="737"/>
    <col min="3068" max="3068" width="6.28515625" style="737" customWidth="1"/>
    <col min="3069" max="3069" width="72.28515625" style="737" bestFit="1" customWidth="1"/>
    <col min="3070" max="3070" width="15" style="737" customWidth="1"/>
    <col min="3071" max="3071" width="14.85546875" style="737" customWidth="1"/>
    <col min="3072" max="3072" width="8.5703125" style="737" customWidth="1"/>
    <col min="3073" max="3323" width="8.85546875" style="737"/>
    <col min="3324" max="3324" width="6.28515625" style="737" customWidth="1"/>
    <col min="3325" max="3325" width="72.28515625" style="737" bestFit="1" customWidth="1"/>
    <col min="3326" max="3326" width="15" style="737" customWidth="1"/>
    <col min="3327" max="3327" width="14.85546875" style="737" customWidth="1"/>
    <col min="3328" max="3328" width="8.5703125" style="737" customWidth="1"/>
    <col min="3329" max="3579" width="8.85546875" style="737"/>
    <col min="3580" max="3580" width="6.28515625" style="737" customWidth="1"/>
    <col min="3581" max="3581" width="72.28515625" style="737" bestFit="1" customWidth="1"/>
    <col min="3582" max="3582" width="15" style="737" customWidth="1"/>
    <col min="3583" max="3583" width="14.85546875" style="737" customWidth="1"/>
    <col min="3584" max="3584" width="8.5703125" style="737" customWidth="1"/>
    <col min="3585" max="3835" width="8.85546875" style="737"/>
    <col min="3836" max="3836" width="6.28515625" style="737" customWidth="1"/>
    <col min="3837" max="3837" width="72.28515625" style="737" bestFit="1" customWidth="1"/>
    <col min="3838" max="3838" width="15" style="737" customWidth="1"/>
    <col min="3839" max="3839" width="14.85546875" style="737" customWidth="1"/>
    <col min="3840" max="3840" width="8.5703125" style="737" customWidth="1"/>
    <col min="3841" max="4091" width="8.85546875" style="737"/>
    <col min="4092" max="4092" width="6.28515625" style="737" customWidth="1"/>
    <col min="4093" max="4093" width="72.28515625" style="737" bestFit="1" customWidth="1"/>
    <col min="4094" max="4094" width="15" style="737" customWidth="1"/>
    <col min="4095" max="4095" width="14.85546875" style="737" customWidth="1"/>
    <col min="4096" max="4096" width="8.5703125" style="737" customWidth="1"/>
    <col min="4097" max="4347" width="8.85546875" style="737"/>
    <col min="4348" max="4348" width="6.28515625" style="737" customWidth="1"/>
    <col min="4349" max="4349" width="72.28515625" style="737" bestFit="1" customWidth="1"/>
    <col min="4350" max="4350" width="15" style="737" customWidth="1"/>
    <col min="4351" max="4351" width="14.85546875" style="737" customWidth="1"/>
    <col min="4352" max="4352" width="8.5703125" style="737" customWidth="1"/>
    <col min="4353" max="4603" width="8.85546875" style="737"/>
    <col min="4604" max="4604" width="6.28515625" style="737" customWidth="1"/>
    <col min="4605" max="4605" width="72.28515625" style="737" bestFit="1" customWidth="1"/>
    <col min="4606" max="4606" width="15" style="737" customWidth="1"/>
    <col min="4607" max="4607" width="14.85546875" style="737" customWidth="1"/>
    <col min="4608" max="4608" width="8.5703125" style="737" customWidth="1"/>
    <col min="4609" max="4859" width="8.85546875" style="737"/>
    <col min="4860" max="4860" width="6.28515625" style="737" customWidth="1"/>
    <col min="4861" max="4861" width="72.28515625" style="737" bestFit="1" customWidth="1"/>
    <col min="4862" max="4862" width="15" style="737" customWidth="1"/>
    <col min="4863" max="4863" width="14.85546875" style="737" customWidth="1"/>
    <col min="4864" max="4864" width="8.5703125" style="737" customWidth="1"/>
    <col min="4865" max="5115" width="8.85546875" style="737"/>
    <col min="5116" max="5116" width="6.28515625" style="737" customWidth="1"/>
    <col min="5117" max="5117" width="72.28515625" style="737" bestFit="1" customWidth="1"/>
    <col min="5118" max="5118" width="15" style="737" customWidth="1"/>
    <col min="5119" max="5119" width="14.85546875" style="737" customWidth="1"/>
    <col min="5120" max="5120" width="8.5703125" style="737" customWidth="1"/>
    <col min="5121" max="5371" width="8.85546875" style="737"/>
    <col min="5372" max="5372" width="6.28515625" style="737" customWidth="1"/>
    <col min="5373" max="5373" width="72.28515625" style="737" bestFit="1" customWidth="1"/>
    <col min="5374" max="5374" width="15" style="737" customWidth="1"/>
    <col min="5375" max="5375" width="14.85546875" style="737" customWidth="1"/>
    <col min="5376" max="5376" width="8.5703125" style="737" customWidth="1"/>
    <col min="5377" max="5627" width="8.85546875" style="737"/>
    <col min="5628" max="5628" width="6.28515625" style="737" customWidth="1"/>
    <col min="5629" max="5629" width="72.28515625" style="737" bestFit="1" customWidth="1"/>
    <col min="5630" max="5630" width="15" style="737" customWidth="1"/>
    <col min="5631" max="5631" width="14.85546875" style="737" customWidth="1"/>
    <col min="5632" max="5632" width="8.5703125" style="737" customWidth="1"/>
    <col min="5633" max="5883" width="8.85546875" style="737"/>
    <col min="5884" max="5884" width="6.28515625" style="737" customWidth="1"/>
    <col min="5885" max="5885" width="72.28515625" style="737" bestFit="1" customWidth="1"/>
    <col min="5886" max="5886" width="15" style="737" customWidth="1"/>
    <col min="5887" max="5887" width="14.85546875" style="737" customWidth="1"/>
    <col min="5888" max="5888" width="8.5703125" style="737" customWidth="1"/>
    <col min="5889" max="6139" width="8.85546875" style="737"/>
    <col min="6140" max="6140" width="6.28515625" style="737" customWidth="1"/>
    <col min="6141" max="6141" width="72.28515625" style="737" bestFit="1" customWidth="1"/>
    <col min="6142" max="6142" width="15" style="737" customWidth="1"/>
    <col min="6143" max="6143" width="14.85546875" style="737" customWidth="1"/>
    <col min="6144" max="6144" width="8.5703125" style="737" customWidth="1"/>
    <col min="6145" max="6395" width="8.85546875" style="737"/>
    <col min="6396" max="6396" width="6.28515625" style="737" customWidth="1"/>
    <col min="6397" max="6397" width="72.28515625" style="737" bestFit="1" customWidth="1"/>
    <col min="6398" max="6398" width="15" style="737" customWidth="1"/>
    <col min="6399" max="6399" width="14.85546875" style="737" customWidth="1"/>
    <col min="6400" max="6400" width="8.5703125" style="737" customWidth="1"/>
    <col min="6401" max="6651" width="8.85546875" style="737"/>
    <col min="6652" max="6652" width="6.28515625" style="737" customWidth="1"/>
    <col min="6653" max="6653" width="72.28515625" style="737" bestFit="1" customWidth="1"/>
    <col min="6654" max="6654" width="15" style="737" customWidth="1"/>
    <col min="6655" max="6655" width="14.85546875" style="737" customWidth="1"/>
    <col min="6656" max="6656" width="8.5703125" style="737" customWidth="1"/>
    <col min="6657" max="6907" width="8.85546875" style="737"/>
    <col min="6908" max="6908" width="6.28515625" style="737" customWidth="1"/>
    <col min="6909" max="6909" width="72.28515625" style="737" bestFit="1" customWidth="1"/>
    <col min="6910" max="6910" width="15" style="737" customWidth="1"/>
    <col min="6911" max="6911" width="14.85546875" style="737" customWidth="1"/>
    <col min="6912" max="6912" width="8.5703125" style="737" customWidth="1"/>
    <col min="6913" max="7163" width="8.85546875" style="737"/>
    <col min="7164" max="7164" width="6.28515625" style="737" customWidth="1"/>
    <col min="7165" max="7165" width="72.28515625" style="737" bestFit="1" customWidth="1"/>
    <col min="7166" max="7166" width="15" style="737" customWidth="1"/>
    <col min="7167" max="7167" width="14.85546875" style="737" customWidth="1"/>
    <col min="7168" max="7168" width="8.5703125" style="737" customWidth="1"/>
    <col min="7169" max="7419" width="8.85546875" style="737"/>
    <col min="7420" max="7420" width="6.28515625" style="737" customWidth="1"/>
    <col min="7421" max="7421" width="72.28515625" style="737" bestFit="1" customWidth="1"/>
    <col min="7422" max="7422" width="15" style="737" customWidth="1"/>
    <col min="7423" max="7423" width="14.85546875" style="737" customWidth="1"/>
    <col min="7424" max="7424" width="8.5703125" style="737" customWidth="1"/>
    <col min="7425" max="7675" width="8.85546875" style="737"/>
    <col min="7676" max="7676" width="6.28515625" style="737" customWidth="1"/>
    <col min="7677" max="7677" width="72.28515625" style="737" bestFit="1" customWidth="1"/>
    <col min="7678" max="7678" width="15" style="737" customWidth="1"/>
    <col min="7679" max="7679" width="14.85546875" style="737" customWidth="1"/>
    <col min="7680" max="7680" width="8.5703125" style="737" customWidth="1"/>
    <col min="7681" max="7931" width="8.85546875" style="737"/>
    <col min="7932" max="7932" width="6.28515625" style="737" customWidth="1"/>
    <col min="7933" max="7933" width="72.28515625" style="737" bestFit="1" customWidth="1"/>
    <col min="7934" max="7934" width="15" style="737" customWidth="1"/>
    <col min="7935" max="7935" width="14.85546875" style="737" customWidth="1"/>
    <col min="7936" max="7936" width="8.5703125" style="737" customWidth="1"/>
    <col min="7937" max="8187" width="8.85546875" style="737"/>
    <col min="8188" max="8188" width="6.28515625" style="737" customWidth="1"/>
    <col min="8189" max="8189" width="72.28515625" style="737" bestFit="1" customWidth="1"/>
    <col min="8190" max="8190" width="15" style="737" customWidth="1"/>
    <col min="8191" max="8191" width="14.85546875" style="737" customWidth="1"/>
    <col min="8192" max="8192" width="8.5703125" style="737" customWidth="1"/>
    <col min="8193" max="8443" width="8.85546875" style="737"/>
    <col min="8444" max="8444" width="6.28515625" style="737" customWidth="1"/>
    <col min="8445" max="8445" width="72.28515625" style="737" bestFit="1" customWidth="1"/>
    <col min="8446" max="8446" width="15" style="737" customWidth="1"/>
    <col min="8447" max="8447" width="14.85546875" style="737" customWidth="1"/>
    <col min="8448" max="8448" width="8.5703125" style="737" customWidth="1"/>
    <col min="8449" max="8699" width="8.85546875" style="737"/>
    <col min="8700" max="8700" width="6.28515625" style="737" customWidth="1"/>
    <col min="8701" max="8701" width="72.28515625" style="737" bestFit="1" customWidth="1"/>
    <col min="8702" max="8702" width="15" style="737" customWidth="1"/>
    <col min="8703" max="8703" width="14.85546875" style="737" customWidth="1"/>
    <col min="8704" max="8704" width="8.5703125" style="737" customWidth="1"/>
    <col min="8705" max="8955" width="8.85546875" style="737"/>
    <col min="8956" max="8956" width="6.28515625" style="737" customWidth="1"/>
    <col min="8957" max="8957" width="72.28515625" style="737" bestFit="1" customWidth="1"/>
    <col min="8958" max="8958" width="15" style="737" customWidth="1"/>
    <col min="8959" max="8959" width="14.85546875" style="737" customWidth="1"/>
    <col min="8960" max="8960" width="8.5703125" style="737" customWidth="1"/>
    <col min="8961" max="9211" width="8.85546875" style="737"/>
    <col min="9212" max="9212" width="6.28515625" style="737" customWidth="1"/>
    <col min="9213" max="9213" width="72.28515625" style="737" bestFit="1" customWidth="1"/>
    <col min="9214" max="9214" width="15" style="737" customWidth="1"/>
    <col min="9215" max="9215" width="14.85546875" style="737" customWidth="1"/>
    <col min="9216" max="9216" width="8.5703125" style="737" customWidth="1"/>
    <col min="9217" max="9467" width="8.85546875" style="737"/>
    <col min="9468" max="9468" width="6.28515625" style="737" customWidth="1"/>
    <col min="9469" max="9469" width="72.28515625" style="737" bestFit="1" customWidth="1"/>
    <col min="9470" max="9470" width="15" style="737" customWidth="1"/>
    <col min="9471" max="9471" width="14.85546875" style="737" customWidth="1"/>
    <col min="9472" max="9472" width="8.5703125" style="737" customWidth="1"/>
    <col min="9473" max="9723" width="8.85546875" style="737"/>
    <col min="9724" max="9724" width="6.28515625" style="737" customWidth="1"/>
    <col min="9725" max="9725" width="72.28515625" style="737" bestFit="1" customWidth="1"/>
    <col min="9726" max="9726" width="15" style="737" customWidth="1"/>
    <col min="9727" max="9727" width="14.85546875" style="737" customWidth="1"/>
    <col min="9728" max="9728" width="8.5703125" style="737" customWidth="1"/>
    <col min="9729" max="9979" width="8.85546875" style="737"/>
    <col min="9980" max="9980" width="6.28515625" style="737" customWidth="1"/>
    <col min="9981" max="9981" width="72.28515625" style="737" bestFit="1" customWidth="1"/>
    <col min="9982" max="9982" width="15" style="737" customWidth="1"/>
    <col min="9983" max="9983" width="14.85546875" style="737" customWidth="1"/>
    <col min="9984" max="9984" width="8.5703125" style="737" customWidth="1"/>
    <col min="9985" max="10235" width="8.85546875" style="737"/>
    <col min="10236" max="10236" width="6.28515625" style="737" customWidth="1"/>
    <col min="10237" max="10237" width="72.28515625" style="737" bestFit="1" customWidth="1"/>
    <col min="10238" max="10238" width="15" style="737" customWidth="1"/>
    <col min="10239" max="10239" width="14.85546875" style="737" customWidth="1"/>
    <col min="10240" max="10240" width="8.5703125" style="737" customWidth="1"/>
    <col min="10241" max="10491" width="8.85546875" style="737"/>
    <col min="10492" max="10492" width="6.28515625" style="737" customWidth="1"/>
    <col min="10493" max="10493" width="72.28515625" style="737" bestFit="1" customWidth="1"/>
    <col min="10494" max="10494" width="15" style="737" customWidth="1"/>
    <col min="10495" max="10495" width="14.85546875" style="737" customWidth="1"/>
    <col min="10496" max="10496" width="8.5703125" style="737" customWidth="1"/>
    <col min="10497" max="10747" width="8.85546875" style="737"/>
    <col min="10748" max="10748" width="6.28515625" style="737" customWidth="1"/>
    <col min="10749" max="10749" width="72.28515625" style="737" bestFit="1" customWidth="1"/>
    <col min="10750" max="10750" width="15" style="737" customWidth="1"/>
    <col min="10751" max="10751" width="14.85546875" style="737" customWidth="1"/>
    <col min="10752" max="10752" width="8.5703125" style="737" customWidth="1"/>
    <col min="10753" max="11003" width="8.85546875" style="737"/>
    <col min="11004" max="11004" width="6.28515625" style="737" customWidth="1"/>
    <col min="11005" max="11005" width="72.28515625" style="737" bestFit="1" customWidth="1"/>
    <col min="11006" max="11006" width="15" style="737" customWidth="1"/>
    <col min="11007" max="11007" width="14.85546875" style="737" customWidth="1"/>
    <col min="11008" max="11008" width="8.5703125" style="737" customWidth="1"/>
    <col min="11009" max="11259" width="8.85546875" style="737"/>
    <col min="11260" max="11260" width="6.28515625" style="737" customWidth="1"/>
    <col min="11261" max="11261" width="72.28515625" style="737" bestFit="1" customWidth="1"/>
    <col min="11262" max="11262" width="15" style="737" customWidth="1"/>
    <col min="11263" max="11263" width="14.85546875" style="737" customWidth="1"/>
    <col min="11264" max="11264" width="8.5703125" style="737" customWidth="1"/>
    <col min="11265" max="11515" width="8.85546875" style="737"/>
    <col min="11516" max="11516" width="6.28515625" style="737" customWidth="1"/>
    <col min="11517" max="11517" width="72.28515625" style="737" bestFit="1" customWidth="1"/>
    <col min="11518" max="11518" width="15" style="737" customWidth="1"/>
    <col min="11519" max="11519" width="14.85546875" style="737" customWidth="1"/>
    <col min="11520" max="11520" width="8.5703125" style="737" customWidth="1"/>
    <col min="11521" max="11771" width="8.85546875" style="737"/>
    <col min="11772" max="11772" width="6.28515625" style="737" customWidth="1"/>
    <col min="11773" max="11773" width="72.28515625" style="737" bestFit="1" customWidth="1"/>
    <col min="11774" max="11774" width="15" style="737" customWidth="1"/>
    <col min="11775" max="11775" width="14.85546875" style="737" customWidth="1"/>
    <col min="11776" max="11776" width="8.5703125" style="737" customWidth="1"/>
    <col min="11777" max="12027" width="8.85546875" style="737"/>
    <col min="12028" max="12028" width="6.28515625" style="737" customWidth="1"/>
    <col min="12029" max="12029" width="72.28515625" style="737" bestFit="1" customWidth="1"/>
    <col min="12030" max="12030" width="15" style="737" customWidth="1"/>
    <col min="12031" max="12031" width="14.85546875" style="737" customWidth="1"/>
    <col min="12032" max="12032" width="8.5703125" style="737" customWidth="1"/>
    <col min="12033" max="12283" width="8.85546875" style="737"/>
    <col min="12284" max="12284" width="6.28515625" style="737" customWidth="1"/>
    <col min="12285" max="12285" width="72.28515625" style="737" bestFit="1" customWidth="1"/>
    <col min="12286" max="12286" width="15" style="737" customWidth="1"/>
    <col min="12287" max="12287" width="14.85546875" style="737" customWidth="1"/>
    <col min="12288" max="12288" width="8.5703125" style="737" customWidth="1"/>
    <col min="12289" max="12539" width="8.85546875" style="737"/>
    <col min="12540" max="12540" width="6.28515625" style="737" customWidth="1"/>
    <col min="12541" max="12541" width="72.28515625" style="737" bestFit="1" customWidth="1"/>
    <col min="12542" max="12542" width="15" style="737" customWidth="1"/>
    <col min="12543" max="12543" width="14.85546875" style="737" customWidth="1"/>
    <col min="12544" max="12544" width="8.5703125" style="737" customWidth="1"/>
    <col min="12545" max="12795" width="8.85546875" style="737"/>
    <col min="12796" max="12796" width="6.28515625" style="737" customWidth="1"/>
    <col min="12797" max="12797" width="72.28515625" style="737" bestFit="1" customWidth="1"/>
    <col min="12798" max="12798" width="15" style="737" customWidth="1"/>
    <col min="12799" max="12799" width="14.85546875" style="737" customWidth="1"/>
    <col min="12800" max="12800" width="8.5703125" style="737" customWidth="1"/>
    <col min="12801" max="13051" width="8.85546875" style="737"/>
    <col min="13052" max="13052" width="6.28515625" style="737" customWidth="1"/>
    <col min="13053" max="13053" width="72.28515625" style="737" bestFit="1" customWidth="1"/>
    <col min="13054" max="13054" width="15" style="737" customWidth="1"/>
    <col min="13055" max="13055" width="14.85546875" style="737" customWidth="1"/>
    <col min="13056" max="13056" width="8.5703125" style="737" customWidth="1"/>
    <col min="13057" max="13307" width="8.85546875" style="737"/>
    <col min="13308" max="13308" width="6.28515625" style="737" customWidth="1"/>
    <col min="13309" max="13309" width="72.28515625" style="737" bestFit="1" customWidth="1"/>
    <col min="13310" max="13310" width="15" style="737" customWidth="1"/>
    <col min="13311" max="13311" width="14.85546875" style="737" customWidth="1"/>
    <col min="13312" max="13312" width="8.5703125" style="737" customWidth="1"/>
    <col min="13313" max="13563" width="8.85546875" style="737"/>
    <col min="13564" max="13564" width="6.28515625" style="737" customWidth="1"/>
    <col min="13565" max="13565" width="72.28515625" style="737" bestFit="1" customWidth="1"/>
    <col min="13566" max="13566" width="15" style="737" customWidth="1"/>
    <col min="13567" max="13567" width="14.85546875" style="737" customWidth="1"/>
    <col min="13568" max="13568" width="8.5703125" style="737" customWidth="1"/>
    <col min="13569" max="13819" width="8.85546875" style="737"/>
    <col min="13820" max="13820" width="6.28515625" style="737" customWidth="1"/>
    <col min="13821" max="13821" width="72.28515625" style="737" bestFit="1" customWidth="1"/>
    <col min="13822" max="13822" width="15" style="737" customWidth="1"/>
    <col min="13823" max="13823" width="14.85546875" style="737" customWidth="1"/>
    <col min="13824" max="13824" width="8.5703125" style="737" customWidth="1"/>
    <col min="13825" max="14075" width="8.85546875" style="737"/>
    <col min="14076" max="14076" width="6.28515625" style="737" customWidth="1"/>
    <col min="14077" max="14077" width="72.28515625" style="737" bestFit="1" customWidth="1"/>
    <col min="14078" max="14078" width="15" style="737" customWidth="1"/>
    <col min="14079" max="14079" width="14.85546875" style="737" customWidth="1"/>
    <col min="14080" max="14080" width="8.5703125" style="737" customWidth="1"/>
    <col min="14081" max="14331" width="8.85546875" style="737"/>
    <col min="14332" max="14332" width="6.28515625" style="737" customWidth="1"/>
    <col min="14333" max="14333" width="72.28515625" style="737" bestFit="1" customWidth="1"/>
    <col min="14334" max="14334" width="15" style="737" customWidth="1"/>
    <col min="14335" max="14335" width="14.85546875" style="737" customWidth="1"/>
    <col min="14336" max="14336" width="8.5703125" style="737" customWidth="1"/>
    <col min="14337" max="14587" width="8.85546875" style="737"/>
    <col min="14588" max="14588" width="6.28515625" style="737" customWidth="1"/>
    <col min="14589" max="14589" width="72.28515625" style="737" bestFit="1" customWidth="1"/>
    <col min="14590" max="14590" width="15" style="737" customWidth="1"/>
    <col min="14591" max="14591" width="14.85546875" style="737" customWidth="1"/>
    <col min="14592" max="14592" width="8.5703125" style="737" customWidth="1"/>
    <col min="14593" max="14843" width="8.85546875" style="737"/>
    <col min="14844" max="14844" width="6.28515625" style="737" customWidth="1"/>
    <col min="14845" max="14845" width="72.28515625" style="737" bestFit="1" customWidth="1"/>
    <col min="14846" max="14846" width="15" style="737" customWidth="1"/>
    <col min="14847" max="14847" width="14.85546875" style="737" customWidth="1"/>
    <col min="14848" max="14848" width="8.5703125" style="737" customWidth="1"/>
    <col min="14849" max="15099" width="8.85546875" style="737"/>
    <col min="15100" max="15100" width="6.28515625" style="737" customWidth="1"/>
    <col min="15101" max="15101" width="72.28515625" style="737" bestFit="1" customWidth="1"/>
    <col min="15102" max="15102" width="15" style="737" customWidth="1"/>
    <col min="15103" max="15103" width="14.85546875" style="737" customWidth="1"/>
    <col min="15104" max="15104" width="8.5703125" style="737" customWidth="1"/>
    <col min="15105" max="15355" width="8.85546875" style="737"/>
    <col min="15356" max="15356" width="6.28515625" style="737" customWidth="1"/>
    <col min="15357" max="15357" width="72.28515625" style="737" bestFit="1" customWidth="1"/>
    <col min="15358" max="15358" width="15" style="737" customWidth="1"/>
    <col min="15359" max="15359" width="14.85546875" style="737" customWidth="1"/>
    <col min="15360" max="15360" width="8.5703125" style="737" customWidth="1"/>
    <col min="15361" max="15611" width="8.85546875" style="737"/>
    <col min="15612" max="15612" width="6.28515625" style="737" customWidth="1"/>
    <col min="15613" max="15613" width="72.28515625" style="737" bestFit="1" customWidth="1"/>
    <col min="15614" max="15614" width="15" style="737" customWidth="1"/>
    <col min="15615" max="15615" width="14.85546875" style="737" customWidth="1"/>
    <col min="15616" max="15616" width="8.5703125" style="737" customWidth="1"/>
    <col min="15617" max="15867" width="8.85546875" style="737"/>
    <col min="15868" max="15868" width="6.28515625" style="737" customWidth="1"/>
    <col min="15869" max="15869" width="72.28515625" style="737" bestFit="1" customWidth="1"/>
    <col min="15870" max="15870" width="15" style="737" customWidth="1"/>
    <col min="15871" max="15871" width="14.85546875" style="737" customWidth="1"/>
    <col min="15872" max="15872" width="8.5703125" style="737" customWidth="1"/>
    <col min="15873" max="16123" width="8.85546875" style="737"/>
    <col min="16124" max="16124" width="6.28515625" style="737" customWidth="1"/>
    <col min="16125" max="16125" width="72.28515625" style="737" bestFit="1" customWidth="1"/>
    <col min="16126" max="16126" width="15" style="737" customWidth="1"/>
    <col min="16127" max="16127" width="14.85546875" style="737" customWidth="1"/>
    <col min="16128" max="16128" width="8.5703125" style="737" customWidth="1"/>
    <col min="16129" max="16384" width="8.85546875" style="737"/>
  </cols>
  <sheetData>
    <row r="1" spans="1:7">
      <c r="A1" s="890" t="s">
        <v>3779</v>
      </c>
      <c r="B1" s="890"/>
      <c r="C1" s="784" t="s">
        <v>3900</v>
      </c>
      <c r="D1" s="784" t="s">
        <v>3780</v>
      </c>
    </row>
    <row r="2" spans="1:7">
      <c r="A2" s="738"/>
      <c r="B2" s="738"/>
      <c r="C2" s="812"/>
      <c r="D2" s="786"/>
      <c r="E2" s="737"/>
    </row>
    <row r="3" spans="1:7">
      <c r="A3" s="739" t="s">
        <v>3781</v>
      </c>
      <c r="B3" s="740"/>
      <c r="C3" s="785"/>
      <c r="D3" s="794"/>
      <c r="E3" s="737"/>
    </row>
    <row r="4" spans="1:7">
      <c r="A4" s="741" t="s">
        <v>3782</v>
      </c>
      <c r="B4" s="741" t="s">
        <v>3783</v>
      </c>
      <c r="C4" s="786">
        <f>+'Schema SP'!I122</f>
        <v>959357</v>
      </c>
      <c r="D4" s="792">
        <v>2874961</v>
      </c>
      <c r="E4" s="737"/>
    </row>
    <row r="5" spans="1:7">
      <c r="A5" s="741"/>
      <c r="B5" s="742" t="s">
        <v>3784</v>
      </c>
      <c r="C5" s="813"/>
      <c r="D5" s="797"/>
      <c r="E5" s="737"/>
    </row>
    <row r="6" spans="1:7">
      <c r="A6" s="743" t="s">
        <v>3782</v>
      </c>
      <c r="B6" s="744" t="s">
        <v>3785</v>
      </c>
      <c r="C6" s="787">
        <f>+'Alim CE Costi'!E994+'Alim CE Costi'!E996</f>
        <v>0</v>
      </c>
      <c r="D6" s="787">
        <v>0</v>
      </c>
      <c r="E6" s="737"/>
    </row>
    <row r="7" spans="1:7">
      <c r="A7" s="743" t="s">
        <v>3782</v>
      </c>
      <c r="B7" s="744" t="s">
        <v>3786</v>
      </c>
      <c r="C7" s="787">
        <f>+'Alim CE Costi'!E998+'Alim CE Costi'!E999+'Alim CE Costi'!E1000+'Alim CE Costi'!E1001+'Alim CE Costi'!E1002</f>
        <v>184706.49</v>
      </c>
      <c r="D7" s="787">
        <v>161356.37</v>
      </c>
      <c r="E7" s="737"/>
      <c r="F7" s="811">
        <f>+C7+C8</f>
        <v>188434.77</v>
      </c>
    </row>
    <row r="8" spans="1:7">
      <c r="A8" s="743" t="s">
        <v>3782</v>
      </c>
      <c r="B8" s="744" t="s">
        <v>3787</v>
      </c>
      <c r="C8" s="787">
        <f>+'Alim CE Costi'!E983+'Alim CE Costi'!E984+'Alim CE Costi'!E985+'Alim CE Costi'!E986+'Alim CE Costi'!E987+'Alim CE Costi'!E988+'Alim CE Costi'!E989+'Alim CE Costi'!E990</f>
        <v>3728.28</v>
      </c>
      <c r="D8" s="787">
        <v>3904.91</v>
      </c>
      <c r="E8" s="737"/>
      <c r="F8" s="811">
        <f>+C10</f>
        <v>-186482.77</v>
      </c>
    </row>
    <row r="9" spans="1:7">
      <c r="A9" s="739" t="s">
        <v>3788</v>
      </c>
      <c r="B9" s="745"/>
      <c r="C9" s="788">
        <f>SUM(C6:C8)</f>
        <v>188434.77</v>
      </c>
      <c r="D9" s="788">
        <v>165261.28</v>
      </c>
      <c r="E9" s="737"/>
      <c r="F9" s="811">
        <f>+F7+F8</f>
        <v>1952</v>
      </c>
    </row>
    <row r="10" spans="1:7">
      <c r="A10" s="743" t="s">
        <v>3789</v>
      </c>
      <c r="B10" s="744" t="s">
        <v>3790</v>
      </c>
      <c r="C10" s="787">
        <f>-(+'Alim CE Ricavi'!E69+'Alim CE Ricavi'!E71+'Alim CE Ricavi'!E291+'Alim CE Ricavi'!E293+'Alim CE Ricavi'!E295+'Alim CE Ricavi'!E297+'Alim CE Ricavi'!E299+'Alim CE Ricavi'!E301+'Alim CE Ricavi'!E303)</f>
        <v>-186482.77</v>
      </c>
      <c r="D10" s="787">
        <v>-162903.45000000001</v>
      </c>
      <c r="E10" s="737"/>
      <c r="F10" s="811">
        <f>+F9+405.65</f>
        <v>2357.65</v>
      </c>
    </row>
    <row r="11" spans="1:7">
      <c r="A11" s="743" t="s">
        <v>3789</v>
      </c>
      <c r="B11" s="744" t="s">
        <v>3791</v>
      </c>
      <c r="C11" s="787">
        <f>-(+'Alim CE Ricavi'!E74+'Alim CE Ricavi'!E76+'Alim CE Ricavi'!E78+'Alim CE Ricavi'!E80+'Alim CE Ricavi'!E82)</f>
        <v>-14270040.73</v>
      </c>
      <c r="D11" s="787">
        <v>-714601.74</v>
      </c>
      <c r="E11" s="737"/>
      <c r="F11" s="746"/>
    </row>
    <row r="12" spans="1:7">
      <c r="A12" s="739" t="s">
        <v>3792</v>
      </c>
      <c r="B12" s="745"/>
      <c r="C12" s="788">
        <f>SUM(C10:C11)</f>
        <v>-14456523.5</v>
      </c>
      <c r="D12" s="788">
        <v>-877505.19</v>
      </c>
      <c r="E12" s="737"/>
    </row>
    <row r="13" spans="1:7">
      <c r="A13" s="743" t="s">
        <v>3782</v>
      </c>
      <c r="B13" s="743" t="s">
        <v>3793</v>
      </c>
      <c r="C13" s="787">
        <f>+'Alim CE Costi'!E1115+'Alim CE Costi'!E1116</f>
        <v>0</v>
      </c>
      <c r="D13" s="787">
        <v>0</v>
      </c>
      <c r="E13" s="737"/>
    </row>
    <row r="14" spans="1:7">
      <c r="A14" s="743" t="s">
        <v>3789</v>
      </c>
      <c r="B14" s="744" t="s">
        <v>3794</v>
      </c>
      <c r="C14" s="789">
        <f>+'SP Pas Alim'!F114-'SP Pas Alim'!G114-'Rend Fin'!C13</f>
        <v>0</v>
      </c>
      <c r="D14" s="789">
        <v>0</v>
      </c>
      <c r="E14" s="737"/>
      <c r="F14" s="746"/>
      <c r="G14" s="783"/>
    </row>
    <row r="15" spans="1:7">
      <c r="A15" s="743" t="s">
        <v>3782</v>
      </c>
      <c r="B15" s="743" t="s">
        <v>3795</v>
      </c>
      <c r="C15" s="790">
        <f>+'Alim CE Costi'!E613+'Alim CE Costi'!E622+'Alim CE Costi'!E634+'Alim CE Costi'!E643+'Alim CE Costi'!E661+'Alim CE Costi'!E675+'Alim CE Costi'!E689+'Alim CE Costi'!E704+'Alim CE Costi'!E718+'Alim CE Costi'!E732+'Alim CE Costi'!E745+'Alim CE Costi'!E754+'Alim CE Costi'!E771+'Alim CE Costi'!E785+'Alim CE Costi'!E799+'Alim CE Costi'!E808+'Alim CE Costi'!E818+'Alim CE Costi'!E827+'Alim CE Costi'!E846+'Alim CE Costi'!E860+'Alim CE Costi'!E875+'Alim CE Costi'!E889+'Alim CE Costi'!E903+'Alim CE Costi'!E912+'Alim CE Costi'!E929+'Alim CE Costi'!E943</f>
        <v>0</v>
      </c>
      <c r="D15" s="790">
        <v>0</v>
      </c>
      <c r="E15" s="737"/>
      <c r="G15" s="783"/>
    </row>
    <row r="16" spans="1:7">
      <c r="A16" s="743" t="s">
        <v>3789</v>
      </c>
      <c r="B16" s="744" t="s">
        <v>3796</v>
      </c>
      <c r="C16" s="789">
        <f>'SP Pas Alim'!F116-'SP Pas Alim'!G116-'Rend Fin'!C15</f>
        <v>0</v>
      </c>
      <c r="D16" s="789">
        <v>0</v>
      </c>
      <c r="E16" s="737"/>
    </row>
    <row r="17" spans="1:7">
      <c r="A17" s="739" t="s">
        <v>3797</v>
      </c>
      <c r="B17" s="745"/>
      <c r="C17" s="788">
        <f>SUM(C13:C16)</f>
        <v>0</v>
      </c>
      <c r="D17" s="788">
        <v>0</v>
      </c>
      <c r="E17" s="737"/>
      <c r="G17" s="747"/>
    </row>
    <row r="18" spans="1:7">
      <c r="A18" s="743" t="s">
        <v>3798</v>
      </c>
      <c r="B18" s="744" t="s">
        <v>3799</v>
      </c>
      <c r="C18" s="787">
        <v>0</v>
      </c>
      <c r="D18" s="787">
        <v>0</v>
      </c>
    </row>
    <row r="19" spans="1:7">
      <c r="A19" s="743" t="s">
        <v>3782</v>
      </c>
      <c r="B19" s="743" t="s">
        <v>3800</v>
      </c>
      <c r="C19" s="787">
        <f>+SUM('Alim CE Costi'!E1022:E1064)</f>
        <v>0</v>
      </c>
      <c r="D19" s="787">
        <v>0</v>
      </c>
    </row>
    <row r="20" spans="1:7">
      <c r="A20" s="748" t="s">
        <v>3789</v>
      </c>
      <c r="B20" s="748" t="s">
        <v>3801</v>
      </c>
      <c r="C20" s="787">
        <f>-('SP Att Alim'!F45+'SP Att Alim'!F47+'SP Att Alim'!F49+'SP Att Alim'!F51+'SP Att Alim'!F100+'SP Att Alim'!F101+'SP Att Alim'!F103+'SP Att Alim'!F104+'SP Att Alim'!F106+'SP Att Alim'!F108+'SP Att Alim'!F110+'SP Att Alim'!F112+'SP Att Alim'!F114+'SP Att Alim'!F116+'SP Att Alim'!F121+'SP Att Alim'!F124+'SP Att Alim'!F127+'SP Att Alim'!F132+'SP Att Alim'!F189+'SP Att Alim'!F192+'SP Att Alim'!F195+'SP Att Alim'!F198+'SP Att Alim'!F201+'SP Att Alim'!F204+'SP Att Alim'!F209+'SP Att Alim'!F212+'SP Att Alim'!F215+'SP Att Alim'!F219+'SP Att Alim'!F222+'SP Att Alim'!F227+'SP Att Alim'!F230+'SP Att Alim'!F235+'SP Att Alim'!F240+'SP Att Alim'!F243+'SP Att Alim'!F246+'SP Att Alim'!F249+'SP Att Alim'!F252+'SP Att Alim'!F255+'SP Att Alim'!F260+'SP Att Alim'!F263+'SP Att Alim'!F269+'SP Att Alim'!F272+'SP Att Alim'!F276+'SP Att Alim'!F279+'SP Att Alim'!F282+'SP Att Alim'!F287+'SP Att Alim'!F290+'SP Att Alim'!F299+'SP Att Alim'!F320+'SP Att Alim'!F326+'SP Att Alim'!F329+'SP Att Alim'!F334+'SP Att Alim'!F343+'SP Att Alim'!F351+'SP Att Alim'!F354+'SP Att Alim'!F360+'SP Att Alim'!F363+'SP Att Alim'!F372+'SP Att Alim'!F373)+SUM('SP Att Alim'!G45+'SP Att Alim'!G47+'SP Att Alim'!G49+'SP Att Alim'!G51+'SP Att Alim'!G100+'SP Att Alim'!G101+'SP Att Alim'!G103+'SP Att Alim'!G104+'SP Att Alim'!G106+'SP Att Alim'!G108+'SP Att Alim'!G110+'SP Att Alim'!G112+'SP Att Alim'!G114+'SP Att Alim'!G116+'SP Att Alim'!G121+'SP Att Alim'!G124+'SP Att Alim'!G127+'SP Att Alim'!G132+'SP Att Alim'!G189+'SP Att Alim'!G192+'SP Att Alim'!G195+'SP Att Alim'!G198+'SP Att Alim'!G201+'SP Att Alim'!G204+'SP Att Alim'!G209+'SP Att Alim'!G212+'SP Att Alim'!G215+'SP Att Alim'!G219+'SP Att Alim'!G222+'SP Att Alim'!G227+'SP Att Alim'!G230+'SP Att Alim'!G235+'SP Att Alim'!G240+'SP Att Alim'!G243+'SP Att Alim'!G246+'SP Att Alim'!G249+'SP Att Alim'!G252+'SP Att Alim'!G255+'SP Att Alim'!G260+'SP Att Alim'!G263+'SP Att Alim'!G269+'SP Att Alim'!G272+'SP Att Alim'!G276+'SP Att Alim'!G279+'SP Att Alim'!G282+'SP Att Alim'!G287+'SP Att Alim'!G290+'SP Att Alim'!G299+'SP Att Alim'!G320+'SP Att Alim'!G326+'SP Att Alim'!G329+'SP Att Alim'!G334+'SP Att Alim'!G343+'SP Att Alim'!G351+'SP Att Alim'!G354+'SP Att Alim'!G360+'SP Att Alim'!G363+'SP Att Alim'!G372+'SP Att Alim'!G373)-'Rend Fin'!C19</f>
        <v>-14503</v>
      </c>
      <c r="D20" s="787">
        <v>-57434.149999999994</v>
      </c>
      <c r="G20" s="747"/>
    </row>
    <row r="21" spans="1:7">
      <c r="A21" s="739" t="s">
        <v>3802</v>
      </c>
      <c r="B21" s="745"/>
      <c r="C21" s="788">
        <f>SUM(C18:C20)</f>
        <v>-14503</v>
      </c>
      <c r="D21" s="788">
        <v>-57434.149999999994</v>
      </c>
      <c r="E21" s="746"/>
      <c r="G21" s="747"/>
    </row>
    <row r="22" spans="1:7">
      <c r="A22" s="743" t="s">
        <v>3782</v>
      </c>
      <c r="B22" s="743" t="s">
        <v>3803</v>
      </c>
      <c r="C22" s="787">
        <f>+'Alim CE Costi'!E1242+SUM('Alim CE Costi'!E1099:E1151)+'Alim CE Costi'!E614+'Alim CE Costi'!E623+'Alim CE Costi'!E635+'Alim CE Costi'!E644+'Alim CE Costi'!E662+'Alim CE Costi'!E676+'Alim CE Costi'!E690+'Alim CE Costi'!E705+'Alim CE Costi'!E719+'Alim CE Costi'!E733+'Alim CE Costi'!E746+'Alim CE Costi'!E755+'Alim CE Costi'!E772+'Alim CE Costi'!E786+'Alim CE Costi'!E800+'Alim CE Costi'!E809+'Alim CE Costi'!E819+'Alim CE Costi'!E828+'Alim CE Costi'!E847+'Alim CE Costi'!E861+'Alim CE Costi'!E876+'Alim CE Costi'!E890+'Alim CE Costi'!E904+'Alim CE Costi'!E913+'Alim CE Costi'!E930+'Alim CE Costi'!E944</f>
        <v>51031003.590000004</v>
      </c>
      <c r="D22" s="790">
        <v>35290825.199999996</v>
      </c>
      <c r="E22" s="737"/>
      <c r="G22" s="747"/>
    </row>
    <row r="23" spans="1:7">
      <c r="A23" s="743" t="s">
        <v>3789</v>
      </c>
      <c r="B23" s="744" t="s">
        <v>3804</v>
      </c>
      <c r="C23" s="787">
        <f>'Schema SP'!K130-'Rend Fin'!C22-'Rend Fin'!C11</f>
        <v>-20325803.860000003</v>
      </c>
      <c r="D23" s="787">
        <v>-14855894.459999995</v>
      </c>
      <c r="E23" s="749"/>
      <c r="G23" s="747"/>
    </row>
    <row r="24" spans="1:7">
      <c r="A24" s="739" t="s">
        <v>3805</v>
      </c>
      <c r="B24" s="745"/>
      <c r="C24" s="788">
        <f>SUM(C22:C23)</f>
        <v>30705199.73</v>
      </c>
      <c r="D24" s="788">
        <v>20434930.740000002</v>
      </c>
      <c r="E24" s="737"/>
      <c r="G24" s="747"/>
    </row>
    <row r="25" spans="1:7">
      <c r="A25" s="750" t="s">
        <v>3806</v>
      </c>
      <c r="B25" s="750"/>
      <c r="C25" s="791">
        <f>C4+C9+C12+C17+C21+C24</f>
        <v>17381965</v>
      </c>
      <c r="D25" s="791">
        <v>22540213.680000003</v>
      </c>
      <c r="E25" s="737"/>
    </row>
    <row r="26" spans="1:7" ht="15">
      <c r="A26" s="751"/>
      <c r="B26" s="751"/>
      <c r="C26" s="814"/>
      <c r="D26" s="798"/>
      <c r="E26" s="737"/>
    </row>
    <row r="27" spans="1:7" ht="22.5">
      <c r="A27" s="743" t="s">
        <v>3807</v>
      </c>
      <c r="B27" s="752" t="s">
        <v>3808</v>
      </c>
      <c r="C27" s="787">
        <f>'Schema SP'!K139</f>
        <v>-536</v>
      </c>
      <c r="D27" s="787">
        <v>-3949966</v>
      </c>
      <c r="E27" s="737"/>
    </row>
    <row r="28" spans="1:7">
      <c r="A28" s="743" t="s">
        <v>3807</v>
      </c>
      <c r="B28" s="753" t="s">
        <v>3809</v>
      </c>
      <c r="C28" s="787">
        <f>'Schema SP'!K140</f>
        <v>0</v>
      </c>
      <c r="D28" s="787">
        <v>0</v>
      </c>
      <c r="E28" s="737"/>
    </row>
    <row r="29" spans="1:7">
      <c r="A29" s="743" t="s">
        <v>3807</v>
      </c>
      <c r="B29" s="753" t="s">
        <v>3810</v>
      </c>
      <c r="C29" s="787">
        <f>'Schema SP'!K141</f>
        <v>-15039910</v>
      </c>
      <c r="D29" s="787">
        <v>-5789474</v>
      </c>
      <c r="E29" s="737"/>
    </row>
    <row r="30" spans="1:7">
      <c r="A30" s="743" t="s">
        <v>3807</v>
      </c>
      <c r="B30" s="753" t="s">
        <v>3811</v>
      </c>
      <c r="C30" s="789"/>
      <c r="D30" s="789"/>
    </row>
    <row r="31" spans="1:7">
      <c r="A31" s="743" t="s">
        <v>3807</v>
      </c>
      <c r="B31" s="753" t="s">
        <v>3812</v>
      </c>
      <c r="C31" s="787">
        <f>'Schema SP'!K149-'Rend Fin'!C94</f>
        <v>-19905525</v>
      </c>
      <c r="D31" s="787">
        <v>37565892</v>
      </c>
      <c r="E31" s="737"/>
    </row>
    <row r="32" spans="1:7">
      <c r="A32" s="743" t="s">
        <v>3807</v>
      </c>
      <c r="B32" s="753" t="s">
        <v>3813</v>
      </c>
      <c r="C32" s="787">
        <f>'Schema SP'!K151</f>
        <v>-377964</v>
      </c>
      <c r="D32" s="787">
        <v>976230</v>
      </c>
      <c r="E32" s="737"/>
    </row>
    <row r="33" spans="1:7">
      <c r="A33" s="743" t="s">
        <v>3807</v>
      </c>
      <c r="B33" s="753" t="s">
        <v>3814</v>
      </c>
      <c r="C33" s="787">
        <f>'Schema SP'!K153</f>
        <v>56488</v>
      </c>
      <c r="D33" s="787">
        <v>72687</v>
      </c>
      <c r="E33" s="737"/>
    </row>
    <row r="34" spans="1:7">
      <c r="A34" s="743" t="s">
        <v>3807</v>
      </c>
      <c r="B34" s="753" t="s">
        <v>3815</v>
      </c>
      <c r="C34" s="787">
        <f>'Schema SP'!K138+'Schema SP'!K148+'Schema SP'!K152+'Schema SP'!K154-'Rend Fin'!C30</f>
        <v>7469</v>
      </c>
      <c r="D34" s="787">
        <v>829028</v>
      </c>
    </row>
    <row r="35" spans="1:7">
      <c r="A35" s="741" t="s">
        <v>3807</v>
      </c>
      <c r="B35" s="741" t="s">
        <v>3816</v>
      </c>
      <c r="C35" s="792">
        <f>SUM(C27:C34)</f>
        <v>-35259978</v>
      </c>
      <c r="D35" s="792">
        <v>29704397</v>
      </c>
      <c r="E35" s="746"/>
      <c r="F35" s="746"/>
      <c r="G35" s="747"/>
    </row>
    <row r="36" spans="1:7">
      <c r="A36" s="741" t="s">
        <v>3807</v>
      </c>
      <c r="B36" s="741" t="s">
        <v>3817</v>
      </c>
      <c r="C36" s="786">
        <f>'Schema SP'!K157+'Schema SP'!K158</f>
        <v>0</v>
      </c>
      <c r="D36" s="786">
        <v>0</v>
      </c>
      <c r="E36" s="737"/>
      <c r="F36" s="746"/>
    </row>
    <row r="37" spans="1:7">
      <c r="A37" s="743" t="s">
        <v>3807</v>
      </c>
      <c r="B37" s="753" t="s">
        <v>3818</v>
      </c>
      <c r="C37" s="787">
        <v>0</v>
      </c>
      <c r="D37" s="787">
        <v>0</v>
      </c>
      <c r="E37" s="736" t="s">
        <v>3819</v>
      </c>
    </row>
    <row r="38" spans="1:7">
      <c r="A38" s="743" t="s">
        <v>3807</v>
      </c>
      <c r="B38" s="753" t="s">
        <v>3820</v>
      </c>
      <c r="C38" s="787">
        <f>-('Schema SP'!K52-'Schema SP'!K56)-'Schema SP'!K48</f>
        <v>0</v>
      </c>
      <c r="D38" s="787">
        <v>0</v>
      </c>
    </row>
    <row r="39" spans="1:7">
      <c r="A39" s="743" t="s">
        <v>3807</v>
      </c>
      <c r="B39" s="753" t="s">
        <v>3821</v>
      </c>
      <c r="C39" s="787">
        <v>0</v>
      </c>
      <c r="D39" s="787">
        <v>0</v>
      </c>
      <c r="E39" s="736" t="s">
        <v>3819</v>
      </c>
    </row>
    <row r="40" spans="1:7">
      <c r="A40" s="743" t="s">
        <v>3807</v>
      </c>
      <c r="B40" s="753" t="s">
        <v>3822</v>
      </c>
      <c r="C40" s="787">
        <v>0</v>
      </c>
      <c r="D40" s="787">
        <v>0</v>
      </c>
      <c r="E40" s="736" t="s">
        <v>3819</v>
      </c>
    </row>
    <row r="41" spans="1:7">
      <c r="A41" s="743" t="s">
        <v>3807</v>
      </c>
      <c r="B41" s="753" t="s">
        <v>3823</v>
      </c>
      <c r="C41" s="787">
        <v>0</v>
      </c>
      <c r="D41" s="787">
        <v>0</v>
      </c>
      <c r="E41" s="736" t="s">
        <v>3819</v>
      </c>
    </row>
    <row r="42" spans="1:7">
      <c r="A42" s="743" t="s">
        <v>3807</v>
      </c>
      <c r="B42" s="753" t="s">
        <v>3824</v>
      </c>
      <c r="C42" s="787">
        <v>0</v>
      </c>
      <c r="D42" s="787">
        <v>0</v>
      </c>
      <c r="E42" s="736" t="s">
        <v>3819</v>
      </c>
    </row>
    <row r="43" spans="1:7">
      <c r="A43" s="743" t="s">
        <v>3807</v>
      </c>
      <c r="B43" s="753" t="s">
        <v>3825</v>
      </c>
      <c r="C43" s="787">
        <v>0</v>
      </c>
      <c r="D43" s="787">
        <v>0</v>
      </c>
      <c r="E43" s="736" t="s">
        <v>3819</v>
      </c>
    </row>
    <row r="44" spans="1:7">
      <c r="A44" s="743"/>
      <c r="B44" s="754"/>
      <c r="C44" s="787"/>
      <c r="D44" s="787"/>
      <c r="E44" s="737"/>
    </row>
    <row r="45" spans="1:7">
      <c r="A45" s="743" t="s">
        <v>3807</v>
      </c>
      <c r="B45" s="753" t="s">
        <v>3826</v>
      </c>
      <c r="C45" s="787">
        <f>-'Schema SP'!K59</f>
        <v>-24649428</v>
      </c>
      <c r="D45" s="787">
        <v>-1906314</v>
      </c>
      <c r="E45" s="737"/>
    </row>
    <row r="46" spans="1:7">
      <c r="A46" s="743" t="s">
        <v>3807</v>
      </c>
      <c r="B46" s="753" t="s">
        <v>3827</v>
      </c>
      <c r="C46" s="787">
        <f>-'Schema SP'!K71</f>
        <v>8241</v>
      </c>
      <c r="D46" s="787">
        <v>-918</v>
      </c>
      <c r="E46" s="737"/>
    </row>
    <row r="47" spans="1:7">
      <c r="A47" s="743" t="s">
        <v>3807</v>
      </c>
      <c r="B47" s="753" t="s">
        <v>3828</v>
      </c>
      <c r="C47" s="787">
        <f>-'Schema SP'!K72</f>
        <v>47693462</v>
      </c>
      <c r="D47" s="787">
        <v>-95700375</v>
      </c>
      <c r="E47" s="737"/>
    </row>
    <row r="48" spans="1:7">
      <c r="A48" s="743" t="s">
        <v>3807</v>
      </c>
      <c r="B48" s="753" t="s">
        <v>3829</v>
      </c>
      <c r="C48" s="789"/>
      <c r="D48" s="789"/>
    </row>
    <row r="49" spans="1:7">
      <c r="A49" s="743" t="s">
        <v>3807</v>
      </c>
      <c r="B49" s="753" t="s">
        <v>3830</v>
      </c>
      <c r="C49" s="787">
        <f>-'Schema SP'!K76</f>
        <v>-11577</v>
      </c>
      <c r="D49" s="787">
        <v>-14797</v>
      </c>
      <c r="E49" s="737"/>
    </row>
    <row r="50" spans="1:7">
      <c r="A50" s="743" t="s">
        <v>3807</v>
      </c>
      <c r="B50" s="753" t="s">
        <v>3831</v>
      </c>
      <c r="C50" s="787">
        <f>-('Schema SP'!K77+'Schema SP'!K75+'Schema SP'!K57+'Schema SP'!K78)-'Rend Fin'!C48+'Rend Fin'!E51</f>
        <v>72598</v>
      </c>
      <c r="D50" s="787">
        <v>619256.15</v>
      </c>
      <c r="E50" s="737"/>
    </row>
    <row r="51" spans="1:7">
      <c r="A51" s="741" t="s">
        <v>3807</v>
      </c>
      <c r="B51" s="741" t="s">
        <v>3832</v>
      </c>
      <c r="C51" s="786">
        <f>SUM(C37:C50)</f>
        <v>23113296</v>
      </c>
      <c r="D51" s="786">
        <v>-97003147.849999994</v>
      </c>
      <c r="E51" s="746">
        <f>SUM('SP Att Alim'!F121+'SP Att Alim'!F124+'SP Att Alim'!F127+'SP Att Alim'!F132+'SP Att Alim'!F189+'SP Att Alim'!F192+'SP Att Alim'!F195+'SP Att Alim'!F198+'SP Att Alim'!F201+'SP Att Alim'!F204+'SP Att Alim'!F209+'SP Att Alim'!F212+'SP Att Alim'!F215+'SP Att Alim'!F219+'SP Att Alim'!F222+'SP Att Alim'!F227+'SP Att Alim'!F230+'SP Att Alim'!F235+'SP Att Alim'!F240+'SP Att Alim'!F243+'SP Att Alim'!F246+'SP Att Alim'!F249+'SP Att Alim'!F252+'SP Att Alim'!F255+'SP Att Alim'!F260+'SP Att Alim'!F263+'SP Att Alim'!F269+'SP Att Alim'!F272+'SP Att Alim'!F276+'SP Att Alim'!F279+'SP Att Alim'!F282+'SP Att Alim'!F287+'SP Att Alim'!F290+'SP Att Alim'!F299+'SP Att Alim'!F320+'SP Att Alim'!F326+'SP Att Alim'!F329+'SP Att Alim'!F334+'SP Att Alim'!F343+'SP Att Alim'!F351+'SP Att Alim'!F354+'SP Att Alim'!F360+'SP Att Alim'!F363+'SP Att Alim'!F372+'SP Att Alim'!F373)-SUM('SP Att Alim'!G121+'SP Att Alim'!G124+'SP Att Alim'!G127+'SP Att Alim'!G132+'SP Att Alim'!G189+'SP Att Alim'!G192+'SP Att Alim'!G195+'SP Att Alim'!G198+'SP Att Alim'!G201+'SP Att Alim'!G204+'SP Att Alim'!G209+'SP Att Alim'!G212+'SP Att Alim'!G215+'SP Att Alim'!G219+'SP Att Alim'!G222+'SP Att Alim'!G227+'SP Att Alim'!G230+'SP Att Alim'!G235+'SP Att Alim'!G240+'SP Att Alim'!G243+'SP Att Alim'!G246+'SP Att Alim'!G249+'SP Att Alim'!G252+'SP Att Alim'!G255+'SP Att Alim'!G260+'SP Att Alim'!G263+'SP Att Alim'!G269+'SP Att Alim'!G272+'SP Att Alim'!G276+'SP Att Alim'!G279+'SP Att Alim'!G282+'SP Att Alim'!G287+'SP Att Alim'!G290+'SP Att Alim'!G299+'SP Att Alim'!G320+'SP Att Alim'!G326+'SP Att Alim'!G329+'SP Att Alim'!G334+'SP Att Alim'!G343+'SP Att Alim'!G351+'SP Att Alim'!G354+'SP Att Alim'!G360+'SP Att Alim'!G363+'SP Att Alim'!G372+'SP Att Alim'!G373)</f>
        <v>14503</v>
      </c>
      <c r="F51" s="755" t="s">
        <v>3833</v>
      </c>
      <c r="G51" s="747"/>
    </row>
    <row r="52" spans="1:7">
      <c r="A52" s="748" t="s">
        <v>3807</v>
      </c>
      <c r="B52" s="753" t="s">
        <v>3834</v>
      </c>
      <c r="C52" s="790">
        <f>-('Schema SP'!K41+'Schema SP'!K42)</f>
        <v>-12639</v>
      </c>
      <c r="D52" s="790">
        <v>-12369420</v>
      </c>
      <c r="E52" s="737"/>
    </row>
    <row r="53" spans="1:7">
      <c r="A53" s="748" t="s">
        <v>3807</v>
      </c>
      <c r="B53" s="753" t="s">
        <v>3835</v>
      </c>
      <c r="C53" s="790">
        <f>-('Schema SP'!K43+'Schema SP'!K44)</f>
        <v>0</v>
      </c>
      <c r="D53" s="790">
        <v>0</v>
      </c>
      <c r="E53" s="737"/>
    </row>
    <row r="54" spans="1:7">
      <c r="A54" s="741" t="s">
        <v>3807</v>
      </c>
      <c r="B54" s="756" t="s">
        <v>3836</v>
      </c>
      <c r="C54" s="786">
        <f>SUM(C52:C53)</f>
        <v>-12639</v>
      </c>
      <c r="D54" s="786">
        <v>-12369420</v>
      </c>
      <c r="E54" s="737"/>
      <c r="G54" s="747"/>
    </row>
    <row r="55" spans="1:7">
      <c r="A55" s="741" t="s">
        <v>3807</v>
      </c>
      <c r="B55" s="741" t="s">
        <v>3837</v>
      </c>
      <c r="C55" s="786">
        <f>-('Schema SP'!K88+'Schema SP'!K89)</f>
        <v>1178044</v>
      </c>
      <c r="D55" s="786">
        <v>-533849</v>
      </c>
      <c r="E55" s="737"/>
      <c r="G55" s="747"/>
    </row>
    <row r="56" spans="1:7">
      <c r="A56" s="750" t="s">
        <v>3838</v>
      </c>
      <c r="B56" s="750"/>
      <c r="C56" s="791">
        <f>C35+C36+C51+C54+C55+C25</f>
        <v>6400688</v>
      </c>
      <c r="D56" s="791">
        <v>-57661806.169999987</v>
      </c>
      <c r="E56" s="737"/>
    </row>
    <row r="57" spans="1:7" ht="15">
      <c r="A57" s="751"/>
      <c r="B57" s="751"/>
      <c r="C57" s="814"/>
      <c r="D57" s="798"/>
      <c r="E57" s="737"/>
    </row>
    <row r="58" spans="1:7">
      <c r="A58" s="739" t="s">
        <v>3839</v>
      </c>
      <c r="B58" s="740"/>
      <c r="C58" s="785"/>
      <c r="D58" s="785"/>
      <c r="E58" s="736" t="s">
        <v>3840</v>
      </c>
    </row>
    <row r="59" spans="1:7">
      <c r="A59" s="743" t="s">
        <v>3789</v>
      </c>
      <c r="B59" s="744" t="s">
        <v>3841</v>
      </c>
      <c r="C59" s="789"/>
      <c r="D59" s="789"/>
      <c r="E59" s="736" t="s">
        <v>3840</v>
      </c>
    </row>
    <row r="60" spans="1:7">
      <c r="A60" s="743" t="s">
        <v>3789</v>
      </c>
      <c r="B60" s="744" t="s">
        <v>3842</v>
      </c>
      <c r="C60" s="789"/>
      <c r="D60" s="789"/>
      <c r="E60" s="736" t="s">
        <v>3840</v>
      </c>
    </row>
    <row r="61" spans="1:7">
      <c r="A61" s="743" t="s">
        <v>3789</v>
      </c>
      <c r="B61" s="744" t="s">
        <v>3843</v>
      </c>
      <c r="C61" s="789"/>
      <c r="D61" s="789"/>
      <c r="E61" s="736" t="s">
        <v>3840</v>
      </c>
    </row>
    <row r="62" spans="1:7">
      <c r="A62" s="743" t="s">
        <v>3789</v>
      </c>
      <c r="B62" s="744" t="s">
        <v>3844</v>
      </c>
      <c r="C62" s="789"/>
      <c r="D62" s="789"/>
      <c r="E62" s="736" t="s">
        <v>3840</v>
      </c>
    </row>
    <row r="63" spans="1:7">
      <c r="A63" s="743" t="s">
        <v>3789</v>
      </c>
      <c r="B63" s="744" t="s">
        <v>3845</v>
      </c>
      <c r="C63" s="789"/>
      <c r="D63" s="789">
        <v>-700</v>
      </c>
      <c r="E63" s="736" t="s">
        <v>3840</v>
      </c>
    </row>
    <row r="64" spans="1:7">
      <c r="A64" s="741" t="s">
        <v>3789</v>
      </c>
      <c r="B64" s="756" t="s">
        <v>3846</v>
      </c>
      <c r="C64" s="786">
        <f>SUM(C59:C63)</f>
        <v>0</v>
      </c>
      <c r="D64" s="786">
        <v>-700</v>
      </c>
    </row>
    <row r="65" spans="1:5">
      <c r="A65" s="743" t="s">
        <v>3782</v>
      </c>
      <c r="B65" s="744" t="s">
        <v>3847</v>
      </c>
      <c r="C65" s="789"/>
      <c r="D65" s="789"/>
      <c r="E65" s="736" t="s">
        <v>3840</v>
      </c>
    </row>
    <row r="66" spans="1:5">
      <c r="A66" s="743" t="s">
        <v>3782</v>
      </c>
      <c r="B66" s="744" t="s">
        <v>3848</v>
      </c>
      <c r="C66" s="789"/>
      <c r="D66" s="789"/>
      <c r="E66" s="736" t="s">
        <v>3840</v>
      </c>
    </row>
    <row r="67" spans="1:5">
      <c r="A67" s="743" t="s">
        <v>3782</v>
      </c>
      <c r="B67" s="744" t="s">
        <v>3849</v>
      </c>
      <c r="C67" s="789"/>
      <c r="D67" s="789"/>
      <c r="E67" s="736" t="s">
        <v>3840</v>
      </c>
    </row>
    <row r="68" spans="1:5">
      <c r="A68" s="743" t="s">
        <v>3782</v>
      </c>
      <c r="B68" s="744" t="s">
        <v>3850</v>
      </c>
      <c r="C68" s="789"/>
      <c r="D68" s="789"/>
      <c r="E68" s="736" t="s">
        <v>3840</v>
      </c>
    </row>
    <row r="69" spans="1:5">
      <c r="A69" s="743" t="s">
        <v>3782</v>
      </c>
      <c r="B69" s="744" t="s">
        <v>3851</v>
      </c>
      <c r="C69" s="789"/>
      <c r="D69" s="789"/>
      <c r="E69" s="736" t="s">
        <v>3840</v>
      </c>
    </row>
    <row r="70" spans="1:5">
      <c r="A70" s="741" t="s">
        <v>3782</v>
      </c>
      <c r="B70" s="756" t="s">
        <v>3852</v>
      </c>
      <c r="C70" s="786">
        <f>SUM(C65:C69)</f>
        <v>0</v>
      </c>
      <c r="D70" s="786">
        <v>0</v>
      </c>
    </row>
    <row r="71" spans="1:5">
      <c r="A71" s="743" t="s">
        <v>3789</v>
      </c>
      <c r="B71" s="744" t="s">
        <v>3853</v>
      </c>
      <c r="C71" s="789"/>
      <c r="D71" s="789"/>
      <c r="E71" s="736" t="s">
        <v>3840</v>
      </c>
    </row>
    <row r="72" spans="1:5">
      <c r="A72" s="743" t="s">
        <v>3789</v>
      </c>
      <c r="B72" s="744" t="s">
        <v>3854</v>
      </c>
      <c r="C72" s="789"/>
      <c r="D72" s="789"/>
      <c r="E72" s="736" t="s">
        <v>3840</v>
      </c>
    </row>
    <row r="73" spans="1:5">
      <c r="A73" s="743" t="s">
        <v>3789</v>
      </c>
      <c r="B73" s="744" t="s">
        <v>3855</v>
      </c>
      <c r="C73" s="789"/>
      <c r="D73" s="789"/>
      <c r="E73" s="736" t="s">
        <v>3840</v>
      </c>
    </row>
    <row r="74" spans="1:5">
      <c r="A74" s="743" t="s">
        <v>3789</v>
      </c>
      <c r="B74" s="744" t="s">
        <v>3856</v>
      </c>
      <c r="C74" s="789"/>
      <c r="D74" s="789"/>
      <c r="E74" s="736" t="s">
        <v>3840</v>
      </c>
    </row>
    <row r="75" spans="1:5">
      <c r="A75" s="743" t="s">
        <v>3789</v>
      </c>
      <c r="B75" s="744" t="s">
        <v>3857</v>
      </c>
      <c r="C75" s="789">
        <v>-9970</v>
      </c>
      <c r="D75" s="789">
        <v>-33512</v>
      </c>
      <c r="E75" s="736" t="s">
        <v>3840</v>
      </c>
    </row>
    <row r="76" spans="1:5">
      <c r="A76" s="743" t="s">
        <v>3789</v>
      </c>
      <c r="B76" s="744" t="s">
        <v>3858</v>
      </c>
      <c r="C76" s="789"/>
      <c r="D76" s="789"/>
      <c r="E76" s="736" t="s">
        <v>3840</v>
      </c>
    </row>
    <row r="77" spans="1:5">
      <c r="A77" s="743" t="s">
        <v>3789</v>
      </c>
      <c r="B77" s="744" t="s">
        <v>3859</v>
      </c>
      <c r="C77" s="789">
        <v>-200519</v>
      </c>
      <c r="D77" s="789">
        <v>-50761</v>
      </c>
      <c r="E77" s="736" t="s">
        <v>3840</v>
      </c>
    </row>
    <row r="78" spans="1:5">
      <c r="A78" s="743" t="s">
        <v>3789</v>
      </c>
      <c r="B78" s="744" t="s">
        <v>3860</v>
      </c>
      <c r="C78" s="789"/>
      <c r="D78" s="789"/>
      <c r="E78" s="736" t="s">
        <v>3840</v>
      </c>
    </row>
    <row r="79" spans="1:5">
      <c r="A79" s="741" t="s">
        <v>3789</v>
      </c>
      <c r="B79" s="756" t="s">
        <v>3861</v>
      </c>
      <c r="C79" s="786">
        <f>SUM(C71:C78)</f>
        <v>-210489</v>
      </c>
      <c r="D79" s="786">
        <v>-84273</v>
      </c>
    </row>
    <row r="80" spans="1:5">
      <c r="A80" s="743" t="s">
        <v>3782</v>
      </c>
      <c r="B80" s="744" t="s">
        <v>3862</v>
      </c>
      <c r="C80" s="789"/>
      <c r="D80" s="789"/>
      <c r="E80" s="736" t="s">
        <v>3840</v>
      </c>
    </row>
    <row r="81" spans="1:5">
      <c r="A81" s="743" t="s">
        <v>3782</v>
      </c>
      <c r="B81" s="744" t="s">
        <v>3863</v>
      </c>
      <c r="C81" s="789"/>
      <c r="D81" s="789"/>
      <c r="E81" s="736" t="s">
        <v>3840</v>
      </c>
    </row>
    <row r="82" spans="1:5">
      <c r="A82" s="743" t="s">
        <v>3782</v>
      </c>
      <c r="B82" s="744" t="s">
        <v>3864</v>
      </c>
      <c r="C82" s="789"/>
      <c r="D82" s="789"/>
      <c r="E82" s="736" t="s">
        <v>3840</v>
      </c>
    </row>
    <row r="83" spans="1:5">
      <c r="A83" s="743" t="s">
        <v>3782</v>
      </c>
      <c r="B83" s="744" t="s">
        <v>3865</v>
      </c>
      <c r="C83" s="789"/>
      <c r="D83" s="789"/>
      <c r="E83" s="736" t="s">
        <v>3840</v>
      </c>
    </row>
    <row r="84" spans="1:5">
      <c r="A84" s="743" t="s">
        <v>3782</v>
      </c>
      <c r="B84" s="744" t="s">
        <v>3866</v>
      </c>
      <c r="C84" s="789"/>
      <c r="D84" s="789"/>
      <c r="E84" s="736" t="s">
        <v>3840</v>
      </c>
    </row>
    <row r="85" spans="1:5">
      <c r="A85" s="743" t="s">
        <v>3782</v>
      </c>
      <c r="B85" s="744" t="s">
        <v>3867</v>
      </c>
      <c r="C85" s="789"/>
      <c r="D85" s="789"/>
      <c r="E85" s="736" t="s">
        <v>3840</v>
      </c>
    </row>
    <row r="86" spans="1:5">
      <c r="A86" s="743" t="s">
        <v>3782</v>
      </c>
      <c r="B86" s="744" t="s">
        <v>3868</v>
      </c>
      <c r="C86" s="789">
        <v>405.65</v>
      </c>
      <c r="D86" s="789"/>
      <c r="E86" s="736" t="s">
        <v>3840</v>
      </c>
    </row>
    <row r="87" spans="1:5">
      <c r="A87" s="741" t="s">
        <v>3782</v>
      </c>
      <c r="B87" s="756" t="s">
        <v>3869</v>
      </c>
      <c r="C87" s="786">
        <f>SUM(C80:C86)</f>
        <v>405.65</v>
      </c>
      <c r="D87" s="786">
        <v>0</v>
      </c>
    </row>
    <row r="88" spans="1:5">
      <c r="A88" s="743" t="s">
        <v>3789</v>
      </c>
      <c r="B88" s="744" t="s">
        <v>3870</v>
      </c>
      <c r="C88" s="789"/>
      <c r="D88" s="789"/>
      <c r="E88" s="736" t="s">
        <v>3840</v>
      </c>
    </row>
    <row r="89" spans="1:5">
      <c r="A89" s="743" t="s">
        <v>3789</v>
      </c>
      <c r="B89" s="744" t="s">
        <v>3871</v>
      </c>
      <c r="C89" s="789"/>
      <c r="D89" s="789"/>
      <c r="E89" s="736" t="s">
        <v>3840</v>
      </c>
    </row>
    <row r="90" spans="1:5">
      <c r="A90" s="741" t="s">
        <v>3789</v>
      </c>
      <c r="B90" s="756" t="s">
        <v>3872</v>
      </c>
      <c r="C90" s="786">
        <f>SUM(C88:C89)</f>
        <v>0</v>
      </c>
      <c r="D90" s="786">
        <v>0</v>
      </c>
    </row>
    <row r="91" spans="1:5">
      <c r="A91" s="743" t="s">
        <v>3782</v>
      </c>
      <c r="B91" s="744" t="s">
        <v>3873</v>
      </c>
      <c r="C91" s="789"/>
      <c r="D91" s="789"/>
      <c r="E91" s="736" t="s">
        <v>3840</v>
      </c>
    </row>
    <row r="92" spans="1:5">
      <c r="A92" s="743" t="s">
        <v>3782</v>
      </c>
      <c r="B92" s="744" t="s">
        <v>3874</v>
      </c>
      <c r="C92" s="789"/>
      <c r="D92" s="789"/>
      <c r="E92" s="736" t="s">
        <v>3840</v>
      </c>
    </row>
    <row r="93" spans="1:5">
      <c r="A93" s="741" t="s">
        <v>3782</v>
      </c>
      <c r="B93" s="756" t="s">
        <v>3875</v>
      </c>
      <c r="C93" s="786">
        <f>SUM(C91:C92)</f>
        <v>0</v>
      </c>
      <c r="D93" s="786">
        <v>0</v>
      </c>
    </row>
    <row r="94" spans="1:5">
      <c r="A94" s="741" t="s">
        <v>3798</v>
      </c>
      <c r="B94" s="756" t="s">
        <v>3876</v>
      </c>
      <c r="C94" s="793"/>
      <c r="D94" s="793"/>
      <c r="E94" s="746" t="s">
        <v>3877</v>
      </c>
    </row>
    <row r="95" spans="1:5">
      <c r="A95" s="750" t="s">
        <v>3878</v>
      </c>
      <c r="B95" s="750"/>
      <c r="C95" s="791">
        <f>C64+C70+C79+C87+C90+C93+C94</f>
        <v>-210083.35</v>
      </c>
      <c r="D95" s="791">
        <v>-84973</v>
      </c>
      <c r="E95" s="746"/>
    </row>
    <row r="96" spans="1:5" ht="15">
      <c r="A96" s="751"/>
      <c r="B96" s="751"/>
      <c r="C96" s="814"/>
      <c r="D96" s="798"/>
      <c r="E96" s="737"/>
    </row>
    <row r="97" spans="1:6">
      <c r="A97" s="739" t="s">
        <v>3879</v>
      </c>
      <c r="B97" s="740"/>
      <c r="C97" s="785"/>
      <c r="D97" s="794"/>
      <c r="E97" s="737"/>
    </row>
    <row r="98" spans="1:6">
      <c r="A98" s="743" t="s">
        <v>3807</v>
      </c>
      <c r="B98" s="743" t="s">
        <v>3880</v>
      </c>
      <c r="C98" s="787">
        <f>-('Schema SP'!K51+'Schema SP'!K56)</f>
        <v>0</v>
      </c>
      <c r="D98" s="787">
        <v>0</v>
      </c>
      <c r="E98" s="737"/>
    </row>
    <row r="99" spans="1:6">
      <c r="A99" s="743" t="s">
        <v>3807</v>
      </c>
      <c r="B99" s="743" t="s">
        <v>3881</v>
      </c>
      <c r="C99" s="787">
        <f>-'Schema SP'!K67</f>
        <v>-12070958</v>
      </c>
      <c r="D99" s="787">
        <v>0</v>
      </c>
      <c r="E99" s="737"/>
    </row>
    <row r="100" spans="1:6">
      <c r="A100" s="743" t="s">
        <v>3807</v>
      </c>
      <c r="B100" s="743" t="s">
        <v>3882</v>
      </c>
      <c r="C100" s="787">
        <f>-'Schema SP'!K68</f>
        <v>0</v>
      </c>
      <c r="D100" s="787">
        <v>0</v>
      </c>
      <c r="E100" s="737"/>
    </row>
    <row r="101" spans="1:6">
      <c r="A101" s="743" t="s">
        <v>3807</v>
      </c>
      <c r="B101" s="743" t="s">
        <v>3883</v>
      </c>
      <c r="C101" s="787">
        <f>-'Schema SP'!K69</f>
        <v>0</v>
      </c>
      <c r="D101" s="787">
        <v>0</v>
      </c>
      <c r="E101" s="737"/>
    </row>
    <row r="102" spans="1:6">
      <c r="A102" s="743" t="s">
        <v>3807</v>
      </c>
      <c r="B102" s="743" t="s">
        <v>3884</v>
      </c>
      <c r="C102" s="787">
        <f>-'Schema SP'!K70</f>
        <v>0</v>
      </c>
      <c r="D102" s="787">
        <v>0</v>
      </c>
      <c r="E102" s="737"/>
      <c r="F102" s="746"/>
    </row>
    <row r="103" spans="1:6">
      <c r="A103" s="741" t="s">
        <v>3782</v>
      </c>
      <c r="B103" s="741" t="s">
        <v>3885</v>
      </c>
      <c r="C103" s="786">
        <f>SUM(C98:C102)</f>
        <v>-12070958</v>
      </c>
      <c r="D103" s="786">
        <v>0</v>
      </c>
      <c r="E103" s="746"/>
    </row>
    <row r="104" spans="1:6">
      <c r="A104" s="743" t="s">
        <v>3782</v>
      </c>
      <c r="B104" s="743" t="s">
        <v>3886</v>
      </c>
      <c r="C104" s="787">
        <f>SUM('SP Pas Alim'!F8:F25)+'SP Pas Alim'!F39+'SP Pas Alim'!F41-SUM('SP Pas Alim'!G8:G25)-'SP Pas Alim'!G39-'SP Pas Alim'!G41-'Rend Fin'!C10</f>
        <v>12070957.33</v>
      </c>
      <c r="D104" s="787">
        <v>80000.000000000058</v>
      </c>
      <c r="E104" s="749"/>
    </row>
    <row r="105" spans="1:6">
      <c r="A105" s="743" t="s">
        <v>3807</v>
      </c>
      <c r="B105" s="743" t="s">
        <v>3887</v>
      </c>
      <c r="C105" s="787">
        <f>'Schema SP'!K123-'Schema SP'!K108-'Rend Fin'!C104-'Rend Fin'!C4-'Rend Fin'!C10</f>
        <v>0.43999999991501682</v>
      </c>
      <c r="D105" s="787">
        <v>3.4500000000116415</v>
      </c>
      <c r="E105" s="749"/>
    </row>
    <row r="106" spans="1:6">
      <c r="A106" s="741" t="s">
        <v>3807</v>
      </c>
      <c r="B106" s="756" t="s">
        <v>3888</v>
      </c>
      <c r="C106" s="786">
        <f>SUM(C104:C105)</f>
        <v>12070957.77</v>
      </c>
      <c r="D106" s="786">
        <v>80003.45000000007</v>
      </c>
      <c r="E106" s="737"/>
      <c r="F106" s="746"/>
    </row>
    <row r="107" spans="1:6">
      <c r="A107" s="741" t="s">
        <v>3807</v>
      </c>
      <c r="B107" s="757" t="s">
        <v>3889</v>
      </c>
      <c r="C107" s="786">
        <f>'Schema SP'!K150</f>
        <v>0</v>
      </c>
      <c r="D107" s="786">
        <v>0</v>
      </c>
      <c r="E107" s="737"/>
    </row>
    <row r="108" spans="1:6">
      <c r="A108" s="743" t="s">
        <v>3782</v>
      </c>
      <c r="B108" s="743" t="s">
        <v>3890</v>
      </c>
      <c r="C108" s="789"/>
      <c r="D108" s="789"/>
      <c r="E108" s="736" t="s">
        <v>3840</v>
      </c>
    </row>
    <row r="109" spans="1:6">
      <c r="A109" s="743" t="s">
        <v>3789</v>
      </c>
      <c r="B109" s="743" t="s">
        <v>3891</v>
      </c>
      <c r="C109" s="787">
        <f>-C108+'Schema SP'!K137</f>
        <v>0</v>
      </c>
      <c r="D109" s="787">
        <v>0</v>
      </c>
      <c r="E109" s="737"/>
    </row>
    <row r="110" spans="1:6">
      <c r="A110" s="750" t="s">
        <v>3892</v>
      </c>
      <c r="B110" s="750"/>
      <c r="C110" s="791">
        <f>+C103+C106+C107+C108+C109</f>
        <v>-0.23000000044703484</v>
      </c>
      <c r="D110" s="791">
        <v>80003.45000000007</v>
      </c>
      <c r="E110" s="737"/>
    </row>
    <row r="111" spans="1:6">
      <c r="A111" s="743"/>
      <c r="B111" s="743"/>
      <c r="C111" s="815"/>
      <c r="D111" s="790"/>
      <c r="E111" s="737"/>
    </row>
    <row r="112" spans="1:6">
      <c r="A112" s="739" t="s">
        <v>3893</v>
      </c>
      <c r="B112" s="740"/>
      <c r="C112" s="794">
        <f>+C56+C95+C110</f>
        <v>6190604.4199999999</v>
      </c>
      <c r="D112" s="794">
        <v>-57666775.719999984</v>
      </c>
      <c r="E112" s="749"/>
    </row>
    <row r="113" spans="1:5">
      <c r="A113" s="756" t="s">
        <v>3894</v>
      </c>
      <c r="B113" s="758"/>
      <c r="C113" s="795">
        <f>'Schema SP'!I81-'Schema SP'!J81</f>
        <v>6190604</v>
      </c>
      <c r="D113" s="795">
        <v>-57666776</v>
      </c>
      <c r="E113" s="749"/>
    </row>
    <row r="114" spans="1:5">
      <c r="A114" s="743"/>
      <c r="B114" s="759"/>
      <c r="C114" s="812"/>
      <c r="D114" s="786"/>
      <c r="E114" s="737"/>
    </row>
    <row r="115" spans="1:5">
      <c r="A115" s="760" t="s">
        <v>3895</v>
      </c>
      <c r="B115" s="761"/>
      <c r="C115" s="796">
        <f>C112-C113</f>
        <v>0.41999999992549419</v>
      </c>
      <c r="D115" s="796">
        <v>0.28000001609325409</v>
      </c>
      <c r="E115" s="74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Schema CE</vt:lpstr>
      <vt:lpstr>CE Min</vt:lpstr>
      <vt:lpstr>Alim CE Costi</vt:lpstr>
      <vt:lpstr>Alim CE Ricavi</vt:lpstr>
      <vt:lpstr>Schema SP</vt:lpstr>
      <vt:lpstr>SP Min</vt:lpstr>
      <vt:lpstr>SP Att Alim</vt:lpstr>
      <vt:lpstr>SP Pas Alim</vt:lpstr>
      <vt:lpstr>Rend Fin</vt:lpstr>
      <vt:lpstr>ce art. 44</vt:lpstr>
      <vt:lpstr>'ce art. 44'!Area_stampa</vt:lpstr>
      <vt:lpstr>'CE Min'!Area_stampa</vt:lpstr>
      <vt:lpstr>'SP Att Alim'!Area_stampa</vt:lpstr>
      <vt:lpstr>'Alim CE Costi'!Titoli_stampa</vt:lpstr>
      <vt:lpstr>'Alim CE Ricavi'!Titoli_stampa</vt:lpstr>
      <vt:lpstr>'CE Min'!Titoli_stampa</vt:lpstr>
      <vt:lpstr>'Schema CE'!Titoli_stampa</vt:lpstr>
      <vt:lpstr>'SP Att Alim'!Titoli_stampa</vt:lpstr>
      <vt:lpstr>'SP Min'!Titoli_stampa</vt:lpstr>
      <vt:lpstr>'SP Pas Alim'!Titoli_stampa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Bettina Marangoni</cp:lastModifiedBy>
  <cp:lastPrinted>2025-04-25T07:44:59Z</cp:lastPrinted>
  <dcterms:created xsi:type="dcterms:W3CDTF">2019-07-05T08:06:15Z</dcterms:created>
  <dcterms:modified xsi:type="dcterms:W3CDTF">2025-05-16T10:08:32Z</dcterms:modified>
</cp:coreProperties>
</file>