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tina.marangoni\Desktop\PUBBLICAZIONI\"/>
    </mc:Choice>
  </mc:AlternateContent>
  <bookViews>
    <workbookView xWindow="0" yWindow="0" windowWidth="28800" windowHeight="12090" tabRatio="824" activeTab="8"/>
  </bookViews>
  <sheets>
    <sheet name="Schema CE" sheetId="1" r:id="rId1"/>
    <sheet name="CE Min" sheetId="4" r:id="rId2"/>
    <sheet name="Alim CE Costi" sheetId="3" r:id="rId3"/>
    <sheet name="Alim CE Ricavi" sheetId="2" r:id="rId4"/>
    <sheet name="Schema SP" sheetId="28" r:id="rId5"/>
    <sheet name="SP Min" sheetId="29" r:id="rId6"/>
    <sheet name="SP Att Alim" sheetId="30" r:id="rId7"/>
    <sheet name="SP Pas Alim" sheetId="31" r:id="rId8"/>
    <sheet name="Rend Fin" sheetId="32" r:id="rId9"/>
    <sheet name="ce art. 44" sheetId="17" state="hidden" r:id="rId10"/>
  </sheets>
  <definedNames>
    <definedName name="_xlnm._FilterDatabase" localSheetId="2" hidden="1">'Alim CE Costi'!$A$1:$I$1243</definedName>
    <definedName name="_xlnm._FilterDatabase" localSheetId="3" hidden="1">'Alim CE Ricavi'!$A$1:$GF$391</definedName>
    <definedName name="_xlnm._FilterDatabase" localSheetId="6" hidden="1">'SP Att Alim'!$A$1:$H$450</definedName>
    <definedName name="_xlnm._FilterDatabase" localSheetId="5" hidden="1">'SP Min'!$A$29:$E$29</definedName>
    <definedName name="_xlnm._FilterDatabase" localSheetId="7" hidden="1">'SP Pas Alim'!$A$1:$G$315</definedName>
    <definedName name="_xlnm.Print_Area" localSheetId="9">'ce art. 44'!$A$3:$C$58</definedName>
    <definedName name="_xlnm.Print_Area" localSheetId="1">'CE Min'!$A$1:$W$650</definedName>
    <definedName name="_xlnm.Print_Area" localSheetId="6">'SP Att Alim'!$A$1:$G$449</definedName>
    <definedName name="_xlnm.Print_Titles" localSheetId="2">'Alim CE Costi'!$1:$1</definedName>
    <definedName name="_xlnm.Print_Titles" localSheetId="3">'Alim CE Ricavi'!$1:$1</definedName>
    <definedName name="_xlnm.Print_Titles" localSheetId="1">'CE Min'!$24:$24</definedName>
    <definedName name="_xlnm.Print_Titles" localSheetId="0">'Schema CE'!$4:$5</definedName>
    <definedName name="_xlnm.Print_Titles" localSheetId="6">'SP Att Alim'!$1:$1</definedName>
    <definedName name="_xlnm.Print_Titles" localSheetId="5">'SP Min'!$29:$29</definedName>
    <definedName name="_xlnm.Print_Titles" localSheetId="7">'SP Pas Alim'!$1:$1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9" i="28" l="1"/>
  <c r="D102" i="1"/>
  <c r="F102" i="31"/>
  <c r="F262" i="31" l="1"/>
  <c r="D266" i="29"/>
  <c r="F1141" i="3" l="1"/>
  <c r="F1139" i="3"/>
  <c r="F1137" i="3"/>
  <c r="F1223" i="3"/>
  <c r="F1206" i="3"/>
  <c r="F368" i="2"/>
  <c r="F358" i="2" l="1"/>
  <c r="J40" i="28" l="1"/>
  <c r="E51" i="32" l="1"/>
  <c r="G450" i="30" l="1"/>
  <c r="C93" i="32" l="1"/>
  <c r="C90" i="32"/>
  <c r="C87" i="32"/>
  <c r="C79" i="32"/>
  <c r="C70" i="32"/>
  <c r="C64" i="32"/>
  <c r="E311" i="31"/>
  <c r="E312" i="31" s="1"/>
  <c r="E313" i="31" s="1"/>
  <c r="E314" i="31" s="1"/>
  <c r="E315" i="31" s="1"/>
  <c r="E309" i="31"/>
  <c r="E307" i="31"/>
  <c r="E305" i="31"/>
  <c r="E303" i="31"/>
  <c r="E299" i="31"/>
  <c r="E297" i="31"/>
  <c r="E295" i="31"/>
  <c r="E292" i="31"/>
  <c r="E290" i="31"/>
  <c r="E283" i="31"/>
  <c r="E284" i="31" s="1"/>
  <c r="E285" i="31" s="1"/>
  <c r="E286" i="31" s="1"/>
  <c r="E278" i="31"/>
  <c r="E279" i="31" s="1"/>
  <c r="E280" i="31" s="1"/>
  <c r="E281" i="31" s="1"/>
  <c r="E272" i="31"/>
  <c r="E273" i="31" s="1"/>
  <c r="E274" i="31" s="1"/>
  <c r="E275" i="31" s="1"/>
  <c r="E276" i="31" s="1"/>
  <c r="E267" i="31"/>
  <c r="E268" i="31" s="1"/>
  <c r="E269" i="31" s="1"/>
  <c r="E270" i="31" s="1"/>
  <c r="E264" i="31"/>
  <c r="E265" i="31" s="1"/>
  <c r="E261" i="31"/>
  <c r="E262" i="31" s="1"/>
  <c r="E259" i="31"/>
  <c r="E248" i="31"/>
  <c r="E249" i="31" s="1"/>
  <c r="E250" i="31" s="1"/>
  <c r="E251" i="31" s="1"/>
  <c r="E252" i="31" s="1"/>
  <c r="E253" i="31" s="1"/>
  <c r="E254" i="31" s="1"/>
  <c r="E255" i="31" s="1"/>
  <c r="E256" i="31" s="1"/>
  <c r="E235" i="31"/>
  <c r="E236" i="31" s="1"/>
  <c r="E237" i="31" s="1"/>
  <c r="E238" i="31" s="1"/>
  <c r="E239" i="31" s="1"/>
  <c r="E240" i="31" s="1"/>
  <c r="E241" i="31" s="1"/>
  <c r="E242" i="31" s="1"/>
  <c r="E243" i="31" s="1"/>
  <c r="E244" i="31" s="1"/>
  <c r="E245" i="31" s="1"/>
  <c r="E246" i="31" s="1"/>
  <c r="E232" i="31"/>
  <c r="E233" i="31" s="1"/>
  <c r="E230" i="31"/>
  <c r="E223" i="31"/>
  <c r="E224" i="31" s="1"/>
  <c r="E225" i="31" s="1"/>
  <c r="E226" i="31" s="1"/>
  <c r="E227" i="31" s="1"/>
  <c r="E228" i="31" s="1"/>
  <c r="E220" i="31"/>
  <c r="E217" i="31"/>
  <c r="E218" i="31" s="1"/>
  <c r="E211" i="31"/>
  <c r="E212" i="31" s="1"/>
  <c r="E213" i="31" s="1"/>
  <c r="E209" i="31"/>
  <c r="E207" i="31"/>
  <c r="E191" i="31"/>
  <c r="E192" i="31" s="1"/>
  <c r="E193" i="31" s="1"/>
  <c r="E162" i="31"/>
  <c r="E163" i="31" s="1"/>
  <c r="E164" i="31" s="1"/>
  <c r="E165" i="31" s="1"/>
  <c r="E156" i="31"/>
  <c r="E157" i="31" s="1"/>
  <c r="E158" i="31" s="1"/>
  <c r="E159" i="31" s="1"/>
  <c r="E160" i="31" s="1"/>
  <c r="E154" i="31"/>
  <c r="E152" i="31"/>
  <c r="E150" i="31"/>
  <c r="E148" i="31"/>
  <c r="E146" i="31"/>
  <c r="E144" i="31"/>
  <c r="E142" i="31"/>
  <c r="E140" i="31"/>
  <c r="E138" i="31"/>
  <c r="E132" i="31"/>
  <c r="E133" i="31" s="1"/>
  <c r="E134" i="31" s="1"/>
  <c r="E135" i="31" s="1"/>
  <c r="E130" i="31"/>
  <c r="E128" i="31"/>
  <c r="E126" i="31"/>
  <c r="E124" i="31"/>
  <c r="E121" i="31"/>
  <c r="E118" i="31"/>
  <c r="E116" i="31"/>
  <c r="E114" i="31"/>
  <c r="E111" i="31"/>
  <c r="E108" i="31"/>
  <c r="E109" i="31" s="1"/>
  <c r="E106" i="31"/>
  <c r="E104" i="31"/>
  <c r="E102" i="31"/>
  <c r="E99" i="31"/>
  <c r="E95" i="31"/>
  <c r="E96" i="31" s="1"/>
  <c r="E93" i="31"/>
  <c r="E91" i="31"/>
  <c r="E89" i="31"/>
  <c r="E87" i="31"/>
  <c r="E84" i="31"/>
  <c r="E82" i="31"/>
  <c r="E80" i="31"/>
  <c r="E78" i="31"/>
  <c r="E76" i="31"/>
  <c r="E74" i="31"/>
  <c r="E72" i="31"/>
  <c r="E70" i="31"/>
  <c r="E65" i="31"/>
  <c r="E66" i="31" s="1"/>
  <c r="E67" i="31" s="1"/>
  <c r="E63" i="31"/>
  <c r="E61" i="31"/>
  <c r="E59" i="31"/>
  <c r="E57" i="31"/>
  <c r="E55" i="31"/>
  <c r="E53" i="31"/>
  <c r="E50" i="31"/>
  <c r="E47" i="31"/>
  <c r="E45" i="31"/>
  <c r="E43" i="31"/>
  <c r="E41" i="31"/>
  <c r="E39" i="31"/>
  <c r="E36" i="31"/>
  <c r="E34" i="31"/>
  <c r="E32" i="31"/>
  <c r="E30" i="31"/>
  <c r="E28" i="31"/>
  <c r="E25" i="31"/>
  <c r="E23" i="31"/>
  <c r="E20" i="31"/>
  <c r="E21" i="31" s="1"/>
  <c r="E17" i="31"/>
  <c r="E18" i="31" s="1"/>
  <c r="E15" i="31"/>
  <c r="E13" i="31"/>
  <c r="E11" i="31"/>
  <c r="E8" i="31"/>
  <c r="E5" i="31"/>
  <c r="E445" i="30"/>
  <c r="E446" i="30" s="1"/>
  <c r="E447" i="30" s="1"/>
  <c r="E448" i="30" s="1"/>
  <c r="E449" i="30" s="1"/>
  <c r="E443" i="30"/>
  <c r="E441" i="30"/>
  <c r="E439" i="30"/>
  <c r="E437" i="30"/>
  <c r="F434" i="30"/>
  <c r="E433" i="30"/>
  <c r="E431" i="30"/>
  <c r="E428" i="30"/>
  <c r="E426" i="30"/>
  <c r="E411" i="30"/>
  <c r="E412" i="30" s="1"/>
  <c r="E413" i="30" s="1"/>
  <c r="E414" i="30" s="1"/>
  <c r="E415" i="30" s="1"/>
  <c r="E416" i="30" s="1"/>
  <c r="E417" i="30" s="1"/>
  <c r="E418" i="30" s="1"/>
  <c r="E419" i="30" s="1"/>
  <c r="E420" i="30" s="1"/>
  <c r="E421" i="30" s="1"/>
  <c r="E422" i="30" s="1"/>
  <c r="E405" i="30"/>
  <c r="E406" i="30" s="1"/>
  <c r="E407" i="30" s="1"/>
  <c r="E408" i="30" s="1"/>
  <c r="E409" i="30" s="1"/>
  <c r="E403" i="30"/>
  <c r="E397" i="30"/>
  <c r="E398" i="30" s="1"/>
  <c r="E399" i="30" s="1"/>
  <c r="E400" i="30" s="1"/>
  <c r="E401" i="30" s="1"/>
  <c r="E391" i="30"/>
  <c r="E392" i="30" s="1"/>
  <c r="E394" i="30" s="1"/>
  <c r="E387" i="30"/>
  <c r="E383" i="30"/>
  <c r="E384" i="30" s="1"/>
  <c r="E385" i="30" s="1"/>
  <c r="E380" i="30"/>
  <c r="E378" i="30"/>
  <c r="E375" i="30"/>
  <c r="E366" i="30"/>
  <c r="E367" i="30" s="1"/>
  <c r="E368" i="30" s="1"/>
  <c r="E369" i="30" s="1"/>
  <c r="E370" i="30" s="1"/>
  <c r="E371" i="30" s="1"/>
  <c r="E372" i="30" s="1"/>
  <c r="E373" i="30" s="1"/>
  <c r="E362" i="30"/>
  <c r="E363" i="30" s="1"/>
  <c r="E356" i="30"/>
  <c r="E357" i="30" s="1"/>
  <c r="E358" i="30" s="1"/>
  <c r="E359" i="30" s="1"/>
  <c r="E360" i="30" s="1"/>
  <c r="E353" i="30"/>
  <c r="E354" i="30" s="1"/>
  <c r="E346" i="30"/>
  <c r="E347" i="30" s="1"/>
  <c r="E348" i="30" s="1"/>
  <c r="E349" i="30" s="1"/>
  <c r="E350" i="30" s="1"/>
  <c r="E351" i="30" s="1"/>
  <c r="E336" i="30"/>
  <c r="E337" i="30" s="1"/>
  <c r="E338" i="30" s="1"/>
  <c r="E339" i="30" s="1"/>
  <c r="E340" i="30" s="1"/>
  <c r="E341" i="30" s="1"/>
  <c r="E342" i="30" s="1"/>
  <c r="E343" i="30" s="1"/>
  <c r="E331" i="30"/>
  <c r="E332" i="30" s="1"/>
  <c r="E333" i="30" s="1"/>
  <c r="E334" i="30" s="1"/>
  <c r="E328" i="30"/>
  <c r="E329" i="30" s="1"/>
  <c r="E325" i="30"/>
  <c r="E326" i="30" s="1"/>
  <c r="E322" i="30"/>
  <c r="E317" i="30"/>
  <c r="E318" i="30" s="1"/>
  <c r="E319" i="30" s="1"/>
  <c r="E320" i="30" s="1"/>
  <c r="E313" i="30"/>
  <c r="E309" i="30"/>
  <c r="E310" i="30" s="1"/>
  <c r="E311" i="30" s="1"/>
  <c r="E305" i="30"/>
  <c r="E306" i="30" s="1"/>
  <c r="E307" i="30" s="1"/>
  <c r="E303" i="30"/>
  <c r="E296" i="30"/>
  <c r="E297" i="30" s="1"/>
  <c r="E298" i="30" s="1"/>
  <c r="E299" i="30" s="1"/>
  <c r="E294" i="30"/>
  <c r="E292" i="30"/>
  <c r="E289" i="30"/>
  <c r="E290" i="30" s="1"/>
  <c r="E286" i="30"/>
  <c r="E287" i="30" s="1"/>
  <c r="E284" i="30"/>
  <c r="E281" i="30"/>
  <c r="E282" i="30" s="1"/>
  <c r="E278" i="30"/>
  <c r="E279" i="30" s="1"/>
  <c r="E275" i="30"/>
  <c r="E276" i="30" s="1"/>
  <c r="E271" i="30"/>
  <c r="E272" i="30" s="1"/>
  <c r="E265" i="30"/>
  <c r="E266" i="30" s="1"/>
  <c r="E267" i="30" s="1"/>
  <c r="E268" i="30" s="1"/>
  <c r="E269" i="30" s="1"/>
  <c r="E262" i="30"/>
  <c r="E263" i="30" s="1"/>
  <c r="E257" i="30"/>
  <c r="E258" i="30" s="1"/>
  <c r="E259" i="30" s="1"/>
  <c r="E260" i="30" s="1"/>
  <c r="E254" i="30"/>
  <c r="E255" i="30" s="1"/>
  <c r="E251" i="30"/>
  <c r="E252" i="30" s="1"/>
  <c r="E248" i="30"/>
  <c r="E249" i="30" s="1"/>
  <c r="E245" i="30"/>
  <c r="E246" i="30" s="1"/>
  <c r="E242" i="30"/>
  <c r="E243" i="30" s="1"/>
  <c r="E239" i="30"/>
  <c r="E240" i="30" s="1"/>
  <c r="E232" i="30"/>
  <c r="E233" i="30" s="1"/>
  <c r="E234" i="30" s="1"/>
  <c r="E235" i="30" s="1"/>
  <c r="E229" i="30"/>
  <c r="E230" i="30" s="1"/>
  <c r="E224" i="30"/>
  <c r="E225" i="30" s="1"/>
  <c r="E226" i="30" s="1"/>
  <c r="E227" i="30" s="1"/>
  <c r="E221" i="30"/>
  <c r="E222" i="30" s="1"/>
  <c r="E218" i="30"/>
  <c r="E219" i="30" s="1"/>
  <c r="E214" i="30"/>
  <c r="E215" i="30" s="1"/>
  <c r="E211" i="30"/>
  <c r="E212" i="30" s="1"/>
  <c r="E206" i="30"/>
  <c r="E207" i="30" s="1"/>
  <c r="E208" i="30" s="1"/>
  <c r="E209" i="30" s="1"/>
  <c r="E203" i="30"/>
  <c r="E204" i="30" s="1"/>
  <c r="E200" i="30"/>
  <c r="E201" i="30" s="1"/>
  <c r="E197" i="30"/>
  <c r="E198" i="30" s="1"/>
  <c r="E194" i="30"/>
  <c r="E195" i="30" s="1"/>
  <c r="E191" i="30"/>
  <c r="E192" i="30" s="1"/>
  <c r="E188" i="30"/>
  <c r="E189" i="30" s="1"/>
  <c r="E184" i="30"/>
  <c r="E182" i="30"/>
  <c r="E180" i="30"/>
  <c r="E178" i="30"/>
  <c r="E176" i="30"/>
  <c r="E174" i="30"/>
  <c r="E172" i="30"/>
  <c r="E169" i="30"/>
  <c r="E167" i="30"/>
  <c r="E165" i="30"/>
  <c r="E163" i="30"/>
  <c r="E161" i="30"/>
  <c r="E159" i="30"/>
  <c r="E155" i="30"/>
  <c r="E156" i="30" s="1"/>
  <c r="E157" i="30" s="1"/>
  <c r="E153" i="30"/>
  <c r="E149" i="30"/>
  <c r="E150" i="30" s="1"/>
  <c r="E151" i="30" s="1"/>
  <c r="E144" i="30"/>
  <c r="E142" i="30"/>
  <c r="E140" i="30"/>
  <c r="E138" i="30"/>
  <c r="E135" i="30"/>
  <c r="E129" i="30"/>
  <c r="E130" i="30" s="1"/>
  <c r="E131" i="30" s="1"/>
  <c r="E132" i="30" s="1"/>
  <c r="E126" i="30"/>
  <c r="E127" i="30" s="1"/>
  <c r="H124" i="30"/>
  <c r="E123" i="30"/>
  <c r="E124" i="30" s="1"/>
  <c r="E120" i="30"/>
  <c r="E121" i="30" s="1"/>
  <c r="E116" i="30"/>
  <c r="E114" i="30"/>
  <c r="E112" i="30"/>
  <c r="E110" i="30"/>
  <c r="E108" i="30"/>
  <c r="E106" i="30"/>
  <c r="E103" i="30"/>
  <c r="E104" i="30" s="1"/>
  <c r="E100" i="30"/>
  <c r="E101" i="30" s="1"/>
  <c r="E97" i="30"/>
  <c r="E95" i="30"/>
  <c r="E93" i="30"/>
  <c r="E90" i="30"/>
  <c r="E88" i="30"/>
  <c r="E86" i="30"/>
  <c r="E83" i="30"/>
  <c r="E81" i="30"/>
  <c r="E78" i="30"/>
  <c r="E76" i="30"/>
  <c r="E73" i="30"/>
  <c r="E71" i="30"/>
  <c r="E68" i="30"/>
  <c r="E66" i="30"/>
  <c r="E63" i="30"/>
  <c r="E61" i="30"/>
  <c r="E57" i="30"/>
  <c r="E55" i="30"/>
  <c r="E51" i="30"/>
  <c r="E49" i="30"/>
  <c r="E47" i="30"/>
  <c r="E45" i="30"/>
  <c r="E42" i="30"/>
  <c r="E40" i="30"/>
  <c r="E38" i="30"/>
  <c r="E36" i="30"/>
  <c r="E34" i="30"/>
  <c r="E32" i="30"/>
  <c r="E30" i="30"/>
  <c r="E28" i="30"/>
  <c r="E25" i="30"/>
  <c r="E23" i="30"/>
  <c r="E21" i="30"/>
  <c r="E19" i="30"/>
  <c r="E17" i="30"/>
  <c r="E14" i="30"/>
  <c r="E12" i="30"/>
  <c r="E9" i="30"/>
  <c r="E7" i="30"/>
  <c r="E346" i="29"/>
  <c r="D346" i="29"/>
  <c r="E345" i="29"/>
  <c r="D345" i="29"/>
  <c r="E344" i="29"/>
  <c r="J165" i="28" s="1"/>
  <c r="D344" i="29"/>
  <c r="I165" i="28" s="1"/>
  <c r="E343" i="29"/>
  <c r="J164" i="28" s="1"/>
  <c r="L164" i="28" s="1"/>
  <c r="D343" i="29"/>
  <c r="I164" i="28" s="1"/>
  <c r="E342" i="29"/>
  <c r="J163" i="28" s="1"/>
  <c r="D342" i="29"/>
  <c r="I163" i="28" s="1"/>
  <c r="E339" i="29"/>
  <c r="D339" i="29"/>
  <c r="E338" i="29"/>
  <c r="D338" i="29"/>
  <c r="E337" i="29"/>
  <c r="D337" i="29"/>
  <c r="E335" i="29"/>
  <c r="D335" i="29"/>
  <c r="E334" i="29"/>
  <c r="D334" i="29"/>
  <c r="E331" i="29"/>
  <c r="D331" i="29"/>
  <c r="E330" i="29"/>
  <c r="D330" i="29"/>
  <c r="E329" i="29"/>
  <c r="D329" i="29"/>
  <c r="E328" i="29"/>
  <c r="J152" i="28" s="1"/>
  <c r="L152" i="28" s="1"/>
  <c r="D328" i="29"/>
  <c r="I152" i="28" s="1"/>
  <c r="E326" i="29"/>
  <c r="J153" i="28" s="1"/>
  <c r="D326" i="29"/>
  <c r="I153" i="28" s="1"/>
  <c r="E325" i="29"/>
  <c r="J151" i="28" s="1"/>
  <c r="D325" i="29"/>
  <c r="I151" i="28" s="1"/>
  <c r="E324" i="29"/>
  <c r="D324" i="29"/>
  <c r="I150" i="28" s="1"/>
  <c r="E323" i="29"/>
  <c r="D323" i="29"/>
  <c r="E322" i="29"/>
  <c r="D322" i="29"/>
  <c r="E320" i="29"/>
  <c r="D320" i="29"/>
  <c r="E319" i="29"/>
  <c r="D319" i="29"/>
  <c r="E316" i="29"/>
  <c r="D316" i="29"/>
  <c r="E315" i="29"/>
  <c r="D315" i="29"/>
  <c r="E314" i="29"/>
  <c r="D314" i="29"/>
  <c r="E312" i="29"/>
  <c r="D312" i="29"/>
  <c r="E311" i="29"/>
  <c r="D311" i="29"/>
  <c r="E310" i="29"/>
  <c r="D310" i="29"/>
  <c r="E309" i="29"/>
  <c r="D309" i="29"/>
  <c r="E308" i="29"/>
  <c r="D308" i="29"/>
  <c r="E306" i="29"/>
  <c r="J147" i="28" s="1"/>
  <c r="D306" i="29"/>
  <c r="I147" i="28" s="1"/>
  <c r="E305" i="29"/>
  <c r="D305" i="29"/>
  <c r="E304" i="29"/>
  <c r="D304" i="29"/>
  <c r="E303" i="29"/>
  <c r="D303" i="29"/>
  <c r="E302" i="29"/>
  <c r="D302" i="29"/>
  <c r="E301" i="29"/>
  <c r="D301" i="29"/>
  <c r="E300" i="29"/>
  <c r="D300" i="29"/>
  <c r="E299" i="29"/>
  <c r="J144" i="28" s="1"/>
  <c r="L144" i="28" s="1"/>
  <c r="D299" i="29"/>
  <c r="I144" i="28" s="1"/>
  <c r="E298" i="29"/>
  <c r="J143" i="28" s="1"/>
  <c r="L143" i="28" s="1"/>
  <c r="D298" i="29"/>
  <c r="I143" i="28" s="1"/>
  <c r="E297" i="29"/>
  <c r="D297" i="29"/>
  <c r="E294" i="29"/>
  <c r="J140" i="28" s="1"/>
  <c r="L140" i="28" s="1"/>
  <c r="D294" i="29"/>
  <c r="I140" i="28" s="1"/>
  <c r="E293" i="29"/>
  <c r="D293" i="29"/>
  <c r="E292" i="29"/>
  <c r="D292" i="29"/>
  <c r="E291" i="29"/>
  <c r="D291" i="29"/>
  <c r="E290" i="29"/>
  <c r="D290" i="29"/>
  <c r="E289" i="29"/>
  <c r="D289" i="29"/>
  <c r="E288" i="29"/>
  <c r="D288" i="29"/>
  <c r="E287" i="29"/>
  <c r="D287" i="29"/>
  <c r="E286" i="29"/>
  <c r="D286" i="29"/>
  <c r="E285" i="29"/>
  <c r="D285" i="29"/>
  <c r="E284" i="29"/>
  <c r="D284" i="29"/>
  <c r="E282" i="29"/>
  <c r="D282" i="29"/>
  <c r="E281" i="29"/>
  <c r="D281" i="29"/>
  <c r="E280" i="29"/>
  <c r="D280" i="29"/>
  <c r="E279" i="29"/>
  <c r="D279" i="29"/>
  <c r="E278" i="29"/>
  <c r="D278" i="29"/>
  <c r="E276" i="29"/>
  <c r="J137" i="28" s="1"/>
  <c r="L137" i="28" s="1"/>
  <c r="D276" i="29"/>
  <c r="I137" i="28" s="1"/>
  <c r="E274" i="29"/>
  <c r="D274" i="29"/>
  <c r="E273" i="29"/>
  <c r="D273" i="29"/>
  <c r="E272" i="29"/>
  <c r="J132" i="28" s="1"/>
  <c r="L132" i="28" s="1"/>
  <c r="D272" i="29"/>
  <c r="E270" i="29"/>
  <c r="D270" i="29"/>
  <c r="E269" i="29"/>
  <c r="D269" i="29"/>
  <c r="E268" i="29"/>
  <c r="D268" i="29"/>
  <c r="E267" i="29"/>
  <c r="D267" i="29"/>
  <c r="E266" i="29"/>
  <c r="E264" i="29"/>
  <c r="D264" i="29"/>
  <c r="E262" i="29"/>
  <c r="D262" i="29"/>
  <c r="E261" i="29"/>
  <c r="D261" i="29"/>
  <c r="E260" i="29"/>
  <c r="D260" i="29"/>
  <c r="E259" i="29"/>
  <c r="D259" i="29"/>
  <c r="E258" i="29"/>
  <c r="D258" i="29"/>
  <c r="E256" i="29"/>
  <c r="D256" i="29"/>
  <c r="E255" i="29"/>
  <c r="D255" i="29"/>
  <c r="E254" i="29"/>
  <c r="D254" i="29"/>
  <c r="E253" i="29"/>
  <c r="D253" i="29"/>
  <c r="E252" i="29"/>
  <c r="D252" i="29"/>
  <c r="E251" i="29"/>
  <c r="D251" i="29"/>
  <c r="E250" i="29"/>
  <c r="D250" i="29"/>
  <c r="E249" i="29"/>
  <c r="D249" i="29"/>
  <c r="E247" i="29"/>
  <c r="D247" i="29"/>
  <c r="E246" i="29"/>
  <c r="D246" i="29"/>
  <c r="E245" i="29"/>
  <c r="D245" i="29"/>
  <c r="E244" i="29"/>
  <c r="D244" i="29"/>
  <c r="E243" i="29"/>
  <c r="D243" i="29"/>
  <c r="E242" i="29"/>
  <c r="D242" i="29"/>
  <c r="E241" i="29"/>
  <c r="D241" i="29"/>
  <c r="E239" i="29"/>
  <c r="J125" i="28" s="1"/>
  <c r="L125" i="28" s="1"/>
  <c r="D239" i="29"/>
  <c r="E237" i="29"/>
  <c r="E236" i="29"/>
  <c r="J121" i="28" s="1"/>
  <c r="L121" i="28" s="1"/>
  <c r="D236" i="29"/>
  <c r="I121" i="28" s="1"/>
  <c r="E235" i="29"/>
  <c r="D235" i="29"/>
  <c r="E234" i="29"/>
  <c r="D234" i="29"/>
  <c r="E233" i="29"/>
  <c r="D233" i="29"/>
  <c r="E231" i="29"/>
  <c r="D231" i="29"/>
  <c r="E230" i="29"/>
  <c r="D230" i="29"/>
  <c r="E229" i="29"/>
  <c r="D229" i="29"/>
  <c r="E228" i="29"/>
  <c r="D228" i="29"/>
  <c r="E227" i="29"/>
  <c r="D227" i="29"/>
  <c r="E225" i="29"/>
  <c r="J118" i="28" s="1"/>
  <c r="L118" i="28" s="1"/>
  <c r="D225" i="29"/>
  <c r="I118" i="28" s="1"/>
  <c r="E224" i="29"/>
  <c r="J117" i="28" s="1"/>
  <c r="D224" i="29"/>
  <c r="I117" i="28" s="1"/>
  <c r="E223" i="29"/>
  <c r="J116" i="28" s="1"/>
  <c r="D223" i="29"/>
  <c r="I116" i="28" s="1"/>
  <c r="E222" i="29"/>
  <c r="J115" i="28" s="1"/>
  <c r="D222" i="29"/>
  <c r="I115" i="28" s="1"/>
  <c r="E221" i="29"/>
  <c r="J114" i="28" s="1"/>
  <c r="L114" i="28" s="1"/>
  <c r="D221" i="29"/>
  <c r="I114" i="28" s="1"/>
  <c r="E220" i="29"/>
  <c r="J113" i="28" s="1"/>
  <c r="L113" i="28" s="1"/>
  <c r="D220" i="29"/>
  <c r="I113" i="28" s="1"/>
  <c r="E219" i="29"/>
  <c r="D219" i="29"/>
  <c r="I112" i="28" s="1"/>
  <c r="E217" i="29"/>
  <c r="J110" i="28" s="1"/>
  <c r="L110" i="28" s="1"/>
  <c r="D217" i="29"/>
  <c r="E215" i="29"/>
  <c r="J108" i="28" s="1"/>
  <c r="L108" i="28" s="1"/>
  <c r="D215" i="29"/>
  <c r="I108" i="28" s="1"/>
  <c r="E213" i="29"/>
  <c r="D213" i="29"/>
  <c r="E212" i="29"/>
  <c r="D212" i="29"/>
  <c r="E211" i="29"/>
  <c r="J96" i="28" s="1"/>
  <c r="D211" i="29"/>
  <c r="I96" i="28" s="1"/>
  <c r="E210" i="29"/>
  <c r="J95" i="28" s="1"/>
  <c r="L95" i="28" s="1"/>
  <c r="D210" i="29"/>
  <c r="I95" i="28" s="1"/>
  <c r="E209" i="29"/>
  <c r="J94" i="28" s="1"/>
  <c r="D209" i="29"/>
  <c r="I94" i="28" s="1"/>
  <c r="E206" i="29"/>
  <c r="D206" i="29"/>
  <c r="E205" i="29"/>
  <c r="D205" i="29"/>
  <c r="E203" i="29"/>
  <c r="D203" i="29"/>
  <c r="E202" i="29"/>
  <c r="D202" i="29"/>
  <c r="E199" i="29"/>
  <c r="D199" i="29"/>
  <c r="I85" i="28" s="1"/>
  <c r="E198" i="29"/>
  <c r="L84" i="28" s="1"/>
  <c r="D198" i="29"/>
  <c r="I84" i="28" s="1"/>
  <c r="E197" i="29"/>
  <c r="D197" i="29"/>
  <c r="I83" i="28" s="1"/>
  <c r="E196" i="29"/>
  <c r="D196" i="29"/>
  <c r="I82" i="28" s="1"/>
  <c r="E194" i="29"/>
  <c r="L80" i="28" s="1"/>
  <c r="D194" i="29"/>
  <c r="I80" i="28" s="1"/>
  <c r="E193" i="29"/>
  <c r="D193" i="29"/>
  <c r="E191" i="29"/>
  <c r="D191" i="29"/>
  <c r="E190" i="29"/>
  <c r="D190" i="29"/>
  <c r="E188" i="29"/>
  <c r="D188" i="29"/>
  <c r="E187" i="29"/>
  <c r="D187" i="29"/>
  <c r="E185" i="29"/>
  <c r="D185" i="29"/>
  <c r="E184" i="29"/>
  <c r="D184" i="29"/>
  <c r="E183" i="29"/>
  <c r="D183" i="29"/>
  <c r="E182" i="29"/>
  <c r="D182" i="29"/>
  <c r="E180" i="29"/>
  <c r="D180" i="29"/>
  <c r="I76" i="28" s="1"/>
  <c r="E179" i="29"/>
  <c r="D179" i="29"/>
  <c r="E178" i="29"/>
  <c r="D178" i="29"/>
  <c r="E177" i="29"/>
  <c r="D177" i="29"/>
  <c r="E175" i="29"/>
  <c r="D175" i="29"/>
  <c r="E174" i="29"/>
  <c r="D174" i="29"/>
  <c r="I74" i="28" s="1"/>
  <c r="E172" i="29"/>
  <c r="D172" i="29"/>
  <c r="E171" i="29"/>
  <c r="D171" i="29"/>
  <c r="E170" i="29"/>
  <c r="D170" i="29"/>
  <c r="E169" i="29"/>
  <c r="D169" i="29"/>
  <c r="E166" i="29"/>
  <c r="D166" i="29"/>
  <c r="I71" i="28" s="1"/>
  <c r="E165" i="29"/>
  <c r="D165" i="29"/>
  <c r="E164" i="29"/>
  <c r="D164" i="29"/>
  <c r="E163" i="29"/>
  <c r="L70" i="28" s="1"/>
  <c r="D163" i="29"/>
  <c r="I70" i="28" s="1"/>
  <c r="E162" i="29"/>
  <c r="D162" i="29"/>
  <c r="E161" i="29"/>
  <c r="D161" i="29"/>
  <c r="E160" i="29"/>
  <c r="D160" i="29"/>
  <c r="E159" i="29"/>
  <c r="L68" i="28" s="1"/>
  <c r="D159" i="29"/>
  <c r="I68" i="28" s="1"/>
  <c r="E158" i="29"/>
  <c r="D158" i="29"/>
  <c r="E156" i="29"/>
  <c r="D156" i="29"/>
  <c r="E155" i="29"/>
  <c r="D155" i="29"/>
  <c r="I65" i="28" s="1"/>
  <c r="E154" i="29"/>
  <c r="D154" i="29"/>
  <c r="E153" i="29"/>
  <c r="D153" i="29"/>
  <c r="I64" i="28" s="1"/>
  <c r="E152" i="29"/>
  <c r="L63" i="28" s="1"/>
  <c r="D152" i="29"/>
  <c r="I63" i="28" s="1"/>
  <c r="E151" i="29"/>
  <c r="L62" i="28" s="1"/>
  <c r="D151" i="29"/>
  <c r="I62" i="28" s="1"/>
  <c r="E150" i="29"/>
  <c r="D150" i="29"/>
  <c r="E149" i="29"/>
  <c r="D149" i="29"/>
  <c r="E148" i="29"/>
  <c r="D148" i="29"/>
  <c r="E147" i="29"/>
  <c r="D147" i="29"/>
  <c r="E144" i="29"/>
  <c r="L57" i="28" s="1"/>
  <c r="D144" i="29"/>
  <c r="I57" i="28" s="1"/>
  <c r="E143" i="29"/>
  <c r="L56" i="28" s="1"/>
  <c r="D143" i="29"/>
  <c r="I56" i="28" s="1"/>
  <c r="E142" i="29"/>
  <c r="L55" i="28" s="1"/>
  <c r="D142" i="29"/>
  <c r="I55" i="28" s="1"/>
  <c r="E141" i="29"/>
  <c r="L54" i="28" s="1"/>
  <c r="D141" i="29"/>
  <c r="E140" i="29"/>
  <c r="D140" i="29"/>
  <c r="E138" i="29"/>
  <c r="L51" i="28" s="1"/>
  <c r="D138" i="29"/>
  <c r="I51" i="28" s="1"/>
  <c r="E137" i="29"/>
  <c r="D137" i="29"/>
  <c r="E136" i="29"/>
  <c r="D136" i="29"/>
  <c r="I50" i="28" s="1"/>
  <c r="E135" i="29"/>
  <c r="D135" i="29"/>
  <c r="E134" i="29"/>
  <c r="D134" i="29"/>
  <c r="E133" i="29"/>
  <c r="D133" i="29"/>
  <c r="E132" i="29"/>
  <c r="D132" i="29"/>
  <c r="E131" i="29"/>
  <c r="D131" i="29"/>
  <c r="E130" i="29"/>
  <c r="D130" i="29"/>
  <c r="E127" i="29"/>
  <c r="L44" i="28" s="1"/>
  <c r="D127" i="29"/>
  <c r="I44" i="28" s="1"/>
  <c r="E126" i="29"/>
  <c r="D126" i="29"/>
  <c r="E125" i="29"/>
  <c r="D125" i="29"/>
  <c r="E124" i="29"/>
  <c r="D124" i="29"/>
  <c r="E123" i="29"/>
  <c r="D123" i="29"/>
  <c r="E122" i="29"/>
  <c r="D122" i="29"/>
  <c r="E121" i="29"/>
  <c r="D121" i="29"/>
  <c r="E119" i="29"/>
  <c r="L43" i="28" s="1"/>
  <c r="D119" i="29"/>
  <c r="I43" i="28" s="1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07" i="29"/>
  <c r="D107" i="29"/>
  <c r="E106" i="29"/>
  <c r="D106" i="29"/>
  <c r="E105" i="29"/>
  <c r="D105" i="29"/>
  <c r="E104" i="29"/>
  <c r="D104" i="29"/>
  <c r="E102" i="29"/>
  <c r="D102" i="29"/>
  <c r="I35" i="28" s="1"/>
  <c r="E100" i="29"/>
  <c r="L33" i="28" s="1"/>
  <c r="D100" i="29"/>
  <c r="I33" i="28" s="1"/>
  <c r="E99" i="29"/>
  <c r="L32" i="28" s="1"/>
  <c r="D99" i="29"/>
  <c r="I32" i="28" s="1"/>
  <c r="E98" i="29"/>
  <c r="L31" i="28" s="1"/>
  <c r="D98" i="29"/>
  <c r="I31" i="28" s="1"/>
  <c r="E97" i="29"/>
  <c r="D97" i="29"/>
  <c r="I30" i="28" s="1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5" i="29"/>
  <c r="D85" i="29"/>
  <c r="I26" i="28" s="1"/>
  <c r="E84" i="29"/>
  <c r="D84" i="29"/>
  <c r="E83" i="29"/>
  <c r="D83" i="29"/>
  <c r="E81" i="29"/>
  <c r="D81" i="29"/>
  <c r="I24" i="28" s="1"/>
  <c r="E80" i="29"/>
  <c r="D80" i="29"/>
  <c r="E79" i="29"/>
  <c r="D79" i="29"/>
  <c r="E77" i="29"/>
  <c r="D77" i="29"/>
  <c r="E76" i="29"/>
  <c r="D76" i="29"/>
  <c r="E74" i="29"/>
  <c r="D74" i="29"/>
  <c r="E73" i="29"/>
  <c r="D73" i="29"/>
  <c r="E71" i="29"/>
  <c r="D71" i="29"/>
  <c r="E70" i="29"/>
  <c r="D70" i="29"/>
  <c r="E68" i="29"/>
  <c r="D68" i="29"/>
  <c r="E67" i="29"/>
  <c r="D67" i="29"/>
  <c r="E65" i="29"/>
  <c r="D65" i="29"/>
  <c r="E64" i="29"/>
  <c r="D64" i="29"/>
  <c r="E61" i="29"/>
  <c r="D61" i="29"/>
  <c r="I16" i="28" s="1"/>
  <c r="E60" i="29"/>
  <c r="D60" i="29"/>
  <c r="E57" i="29"/>
  <c r="D57" i="29"/>
  <c r="E56" i="29"/>
  <c r="D56" i="29"/>
  <c r="E55" i="29"/>
  <c r="D55" i="29"/>
  <c r="E54" i="29"/>
  <c r="D54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3" i="29"/>
  <c r="L11" i="28" s="1"/>
  <c r="D43" i="29"/>
  <c r="I11" i="28" s="1"/>
  <c r="E42" i="29"/>
  <c r="D42" i="29"/>
  <c r="E41" i="29"/>
  <c r="D41" i="29"/>
  <c r="E40" i="29"/>
  <c r="D40" i="29"/>
  <c r="E39" i="29"/>
  <c r="D39" i="29"/>
  <c r="E37" i="29"/>
  <c r="D37" i="29"/>
  <c r="E36" i="29"/>
  <c r="D36" i="29"/>
  <c r="E34" i="29"/>
  <c r="D34" i="29"/>
  <c r="E33" i="29"/>
  <c r="D33" i="29"/>
  <c r="L160" i="28"/>
  <c r="K160" i="28"/>
  <c r="L156" i="28"/>
  <c r="K156" i="28"/>
  <c r="J150" i="28"/>
  <c r="L150" i="28" s="1"/>
  <c r="L136" i="28"/>
  <c r="K136" i="28"/>
  <c r="L135" i="28"/>
  <c r="K135" i="28"/>
  <c r="L131" i="28"/>
  <c r="K131" i="28"/>
  <c r="L124" i="28"/>
  <c r="K124" i="28"/>
  <c r="L87" i="28"/>
  <c r="K87" i="28"/>
  <c r="I54" i="28"/>
  <c r="L50" i="28"/>
  <c r="H46" i="28"/>
  <c r="G46" i="28"/>
  <c r="L45" i="28"/>
  <c r="K45" i="28"/>
  <c r="H29" i="28"/>
  <c r="G29" i="28"/>
  <c r="H28" i="28"/>
  <c r="G28" i="28"/>
  <c r="L27" i="28"/>
  <c r="K27" i="28"/>
  <c r="I15" i="28"/>
  <c r="I14" i="28" s="1"/>
  <c r="C95" i="32" l="1"/>
  <c r="J154" i="28"/>
  <c r="J166" i="28"/>
  <c r="L166" i="28" s="1"/>
  <c r="J133" i="28"/>
  <c r="L133" i="28" s="1"/>
  <c r="J142" i="28"/>
  <c r="L142" i="28" s="1"/>
  <c r="D86" i="29"/>
  <c r="D53" i="29"/>
  <c r="D204" i="29"/>
  <c r="I89" i="28" s="1"/>
  <c r="D248" i="29"/>
  <c r="I127" i="28" s="1"/>
  <c r="D283" i="29"/>
  <c r="I139" i="28" s="1"/>
  <c r="I154" i="28"/>
  <c r="K154" i="28" s="1"/>
  <c r="L154" i="28" s="1"/>
  <c r="D38" i="29"/>
  <c r="I10" i="28" s="1"/>
  <c r="D66" i="29"/>
  <c r="I19" i="28" s="1"/>
  <c r="D69" i="29"/>
  <c r="I20" i="28" s="1"/>
  <c r="D75" i="29"/>
  <c r="I22" i="28" s="1"/>
  <c r="D120" i="29"/>
  <c r="I42" i="28" s="1"/>
  <c r="D139" i="29"/>
  <c r="D129" i="29" s="1"/>
  <c r="I61" i="28"/>
  <c r="I69" i="28"/>
  <c r="D186" i="29"/>
  <c r="D192" i="29"/>
  <c r="I145" i="28"/>
  <c r="I166" i="28"/>
  <c r="K166" i="28" s="1"/>
  <c r="D271" i="29"/>
  <c r="D296" i="29"/>
  <c r="D313" i="29"/>
  <c r="I148" i="28" s="1"/>
  <c r="D318" i="29"/>
  <c r="D333" i="29"/>
  <c r="I157" i="28" s="1"/>
  <c r="I133" i="28"/>
  <c r="K133" i="28" s="1"/>
  <c r="K150" i="28"/>
  <c r="C107" i="32" s="1"/>
  <c r="E218" i="29"/>
  <c r="E216" i="29" s="1"/>
  <c r="I142" i="28"/>
  <c r="I132" i="28"/>
  <c r="K165" i="28"/>
  <c r="L165" i="28" s="1"/>
  <c r="K163" i="28"/>
  <c r="D226" i="29"/>
  <c r="D341" i="29"/>
  <c r="D327" i="29"/>
  <c r="D218" i="29"/>
  <c r="D216" i="29" s="1"/>
  <c r="D257" i="29"/>
  <c r="I128" i="28" s="1"/>
  <c r="D277" i="29"/>
  <c r="I138" i="28" s="1"/>
  <c r="I110" i="28"/>
  <c r="D265" i="29"/>
  <c r="D263" i="29" s="1"/>
  <c r="I129" i="28" s="1"/>
  <c r="D307" i="29"/>
  <c r="I146" i="28" s="1"/>
  <c r="D321" i="29"/>
  <c r="E69" i="29"/>
  <c r="I97" i="28"/>
  <c r="I98" i="28" s="1"/>
  <c r="I81" i="28"/>
  <c r="I79" i="28"/>
  <c r="K79" i="28" s="1"/>
  <c r="D110" i="29"/>
  <c r="I41" i="28" s="1"/>
  <c r="D103" i="29"/>
  <c r="I36" i="28" s="1"/>
  <c r="I34" i="28" s="1"/>
  <c r="D157" i="29"/>
  <c r="L78" i="28"/>
  <c r="K43" i="28"/>
  <c r="D35" i="29"/>
  <c r="I9" i="28" s="1"/>
  <c r="D44" i="29"/>
  <c r="I12" i="28" s="1"/>
  <c r="D82" i="29"/>
  <c r="D78" i="29"/>
  <c r="I23" i="28" s="1"/>
  <c r="D63" i="29"/>
  <c r="I18" i="28" s="1"/>
  <c r="D168" i="29"/>
  <c r="D189" i="29"/>
  <c r="D201" i="29"/>
  <c r="K15" i="28"/>
  <c r="I49" i="28"/>
  <c r="I48" i="28" s="1"/>
  <c r="I53" i="28"/>
  <c r="I52" i="28" s="1"/>
  <c r="I67" i="28"/>
  <c r="G67" i="28" s="1"/>
  <c r="D59" i="29"/>
  <c r="D72" i="29"/>
  <c r="I21" i="28" s="1"/>
  <c r="E146" i="29"/>
  <c r="L69" i="28"/>
  <c r="J97" i="28"/>
  <c r="L97" i="28" s="1"/>
  <c r="K56" i="28"/>
  <c r="K61" i="28"/>
  <c r="E53" i="29"/>
  <c r="L26" i="28"/>
  <c r="K26" i="28"/>
  <c r="K70" i="28"/>
  <c r="C102" i="32" s="1"/>
  <c r="K74" i="28"/>
  <c r="L74" i="28" s="1"/>
  <c r="L15" i="28"/>
  <c r="K51" i="28"/>
  <c r="K68" i="28"/>
  <c r="C100" i="32" s="1"/>
  <c r="K80" i="28"/>
  <c r="K95" i="28"/>
  <c r="E38" i="29"/>
  <c r="L10" i="28" s="1"/>
  <c r="K54" i="28"/>
  <c r="K63" i="28"/>
  <c r="K65" i="28"/>
  <c r="L65" i="28" s="1"/>
  <c r="E32" i="29"/>
  <c r="L8" i="28" s="1"/>
  <c r="E66" i="29"/>
  <c r="E96" i="29"/>
  <c r="E120" i="29"/>
  <c r="L48" i="28"/>
  <c r="L52" i="28"/>
  <c r="E186" i="29"/>
  <c r="E189" i="29"/>
  <c r="E201" i="29"/>
  <c r="J88" i="28" s="1"/>
  <c r="L88" i="28" s="1"/>
  <c r="E204" i="29"/>
  <c r="J89" i="28" s="1"/>
  <c r="E208" i="29"/>
  <c r="K16" i="28"/>
  <c r="L14" i="28"/>
  <c r="L16" i="28"/>
  <c r="K32" i="28"/>
  <c r="K30" i="28"/>
  <c r="L94" i="28"/>
  <c r="E44" i="29"/>
  <c r="E72" i="29"/>
  <c r="E75" i="29"/>
  <c r="E82" i="29"/>
  <c r="K11" i="28"/>
  <c r="K31" i="28"/>
  <c r="K33" i="28"/>
  <c r="K44" i="28"/>
  <c r="K50" i="28"/>
  <c r="K55" i="28"/>
  <c r="K57" i="28"/>
  <c r="K62" i="28"/>
  <c r="K64" i="28"/>
  <c r="L64" i="28" s="1"/>
  <c r="K71" i="28"/>
  <c r="C46" i="32" s="1"/>
  <c r="E35" i="29"/>
  <c r="E59" i="29"/>
  <c r="E78" i="29"/>
  <c r="E157" i="29"/>
  <c r="E168" i="29"/>
  <c r="K96" i="28"/>
  <c r="L96" i="28" s="1"/>
  <c r="K76" i="28"/>
  <c r="C49" i="32" s="1"/>
  <c r="K82" i="28"/>
  <c r="L82" i="28" s="1"/>
  <c r="K94" i="28"/>
  <c r="J112" i="28"/>
  <c r="L112" i="28" s="1"/>
  <c r="K164" i="28"/>
  <c r="E226" i="29"/>
  <c r="J119" i="28" s="1"/>
  <c r="K151" i="28"/>
  <c r="C32" i="32" s="1"/>
  <c r="E318" i="29"/>
  <c r="E321" i="29"/>
  <c r="E341" i="29"/>
  <c r="L163" i="28"/>
  <c r="J145" i="28"/>
  <c r="E313" i="29"/>
  <c r="J148" i="28" s="1"/>
  <c r="L148" i="28" s="1"/>
  <c r="K115" i="28"/>
  <c r="L115" i="28" s="1"/>
  <c r="K108" i="28"/>
  <c r="K113" i="28"/>
  <c r="K143" i="28"/>
  <c r="E248" i="29"/>
  <c r="J127" i="28" s="1"/>
  <c r="L127" i="28" s="1"/>
  <c r="E257" i="29"/>
  <c r="J128" i="28" s="1"/>
  <c r="E271" i="29"/>
  <c r="E277" i="29"/>
  <c r="J138" i="28" s="1"/>
  <c r="E327" i="29"/>
  <c r="E333" i="29"/>
  <c r="J157" i="28" s="1"/>
  <c r="E336" i="29"/>
  <c r="J158" i="28" s="1"/>
  <c r="L158" i="28" s="1"/>
  <c r="K121" i="28"/>
  <c r="K152" i="28"/>
  <c r="E265" i="29"/>
  <c r="E263" i="29" s="1"/>
  <c r="J129" i="28" s="1"/>
  <c r="E296" i="29"/>
  <c r="E307" i="29"/>
  <c r="J146" i="28" s="1"/>
  <c r="L146" i="28" s="1"/>
  <c r="K116" i="28"/>
  <c r="L116" i="28" s="1"/>
  <c r="K118" i="28"/>
  <c r="K144" i="28"/>
  <c r="D146" i="29"/>
  <c r="K35" i="28"/>
  <c r="L117" i="28"/>
  <c r="K117" i="28"/>
  <c r="L35" i="28"/>
  <c r="J167" i="28"/>
  <c r="L24" i="28"/>
  <c r="K24" i="28"/>
  <c r="K147" i="28"/>
  <c r="L147" i="28" s="1"/>
  <c r="I29" i="28"/>
  <c r="I125" i="28"/>
  <c r="K84" i="28"/>
  <c r="I60" i="28"/>
  <c r="G60" i="28" s="1"/>
  <c r="K85" i="28"/>
  <c r="L85" i="28"/>
  <c r="K83" i="28"/>
  <c r="L83" i="28" s="1"/>
  <c r="K153" i="28"/>
  <c r="C33" i="32" s="1"/>
  <c r="E63" i="29"/>
  <c r="E103" i="29"/>
  <c r="D195" i="29"/>
  <c r="D240" i="29"/>
  <c r="I126" i="28" s="1"/>
  <c r="L53" i="28"/>
  <c r="L79" i="28"/>
  <c r="K110" i="28"/>
  <c r="J134" i="28"/>
  <c r="L134" i="28" s="1"/>
  <c r="E240" i="29"/>
  <c r="K137" i="28"/>
  <c r="C109" i="32" s="1"/>
  <c r="K140" i="28"/>
  <c r="C28" i="32" s="1"/>
  <c r="E110" i="29"/>
  <c r="E195" i="29"/>
  <c r="D208" i="29"/>
  <c r="D336" i="29"/>
  <c r="I158" i="28" s="1"/>
  <c r="D32" i="29"/>
  <c r="D96" i="29"/>
  <c r="E176" i="29"/>
  <c r="L75" i="28" s="1"/>
  <c r="E232" i="29"/>
  <c r="J120" i="28" s="1"/>
  <c r="L120" i="28" s="1"/>
  <c r="I111" i="28"/>
  <c r="D176" i="29"/>
  <c r="I75" i="28" s="1"/>
  <c r="D232" i="29"/>
  <c r="I120" i="28" s="1"/>
  <c r="E283" i="29"/>
  <c r="J139" i="28" s="1"/>
  <c r="K114" i="28"/>
  <c r="E86" i="29"/>
  <c r="D101" i="29"/>
  <c r="E139" i="29"/>
  <c r="E129" i="29" s="1"/>
  <c r="E192" i="29"/>
  <c r="E395" i="30"/>
  <c r="J111" i="28" l="1"/>
  <c r="I134" i="28"/>
  <c r="I25" i="28"/>
  <c r="K111" i="28"/>
  <c r="K19" i="28"/>
  <c r="J98" i="28"/>
  <c r="K98" i="28" s="1"/>
  <c r="L98" i="28" s="1"/>
  <c r="K89" i="28"/>
  <c r="L89" i="28" s="1"/>
  <c r="I167" i="28"/>
  <c r="K167" i="28" s="1"/>
  <c r="L167" i="28" s="1"/>
  <c r="K112" i="28"/>
  <c r="I141" i="28"/>
  <c r="K142" i="28"/>
  <c r="K138" i="28"/>
  <c r="L138" i="28" s="1"/>
  <c r="D145" i="29"/>
  <c r="K42" i="28"/>
  <c r="L42" i="28" s="1"/>
  <c r="I17" i="28"/>
  <c r="I13" i="28" s="1"/>
  <c r="I78" i="28"/>
  <c r="K78" i="28" s="1"/>
  <c r="K20" i="28"/>
  <c r="L20" i="28" s="1"/>
  <c r="I40" i="28"/>
  <c r="C53" i="32"/>
  <c r="I66" i="28"/>
  <c r="K66" i="28" s="1"/>
  <c r="L66" i="28" s="1"/>
  <c r="D181" i="29"/>
  <c r="I77" i="28" s="1"/>
  <c r="D109" i="29"/>
  <c r="D295" i="29"/>
  <c r="K132" i="28"/>
  <c r="D317" i="29"/>
  <c r="I149" i="28" s="1"/>
  <c r="I155" i="28" s="1"/>
  <c r="J141" i="28"/>
  <c r="I109" i="28"/>
  <c r="L151" i="28"/>
  <c r="D238" i="29"/>
  <c r="L61" i="28"/>
  <c r="K53" i="28"/>
  <c r="D62" i="29"/>
  <c r="D58" i="29" s="1"/>
  <c r="E145" i="29"/>
  <c r="L19" i="28"/>
  <c r="K67" i="28"/>
  <c r="C99" i="32" s="1"/>
  <c r="D167" i="29"/>
  <c r="I73" i="28"/>
  <c r="I72" i="28" s="1"/>
  <c r="D200" i="29"/>
  <c r="I88" i="28"/>
  <c r="K97" i="28"/>
  <c r="C98" i="32"/>
  <c r="K14" i="28"/>
  <c r="K52" i="28"/>
  <c r="K69" i="28"/>
  <c r="C101" i="32" s="1"/>
  <c r="E181" i="29"/>
  <c r="E200" i="29"/>
  <c r="L49" i="28"/>
  <c r="K10" i="28"/>
  <c r="J90" i="28"/>
  <c r="L47" i="28"/>
  <c r="K49" i="28"/>
  <c r="E31" i="29"/>
  <c r="K25" i="28"/>
  <c r="L25" i="28" s="1"/>
  <c r="L76" i="28"/>
  <c r="K22" i="28"/>
  <c r="L22" i="28" s="1"/>
  <c r="L71" i="28"/>
  <c r="K23" i="28"/>
  <c r="L23" i="28" s="1"/>
  <c r="E167" i="29"/>
  <c r="L9" i="28"/>
  <c r="K9" i="28"/>
  <c r="K21" i="28"/>
  <c r="L21" i="28" s="1"/>
  <c r="K12" i="28"/>
  <c r="L12" i="28" s="1"/>
  <c r="L30" i="28"/>
  <c r="L29" i="28"/>
  <c r="K148" i="28"/>
  <c r="K119" i="28"/>
  <c r="L119" i="28" s="1"/>
  <c r="K145" i="28"/>
  <c r="L145" i="28" s="1"/>
  <c r="E317" i="29"/>
  <c r="J149" i="28" s="1"/>
  <c r="K158" i="28"/>
  <c r="E332" i="29"/>
  <c r="K120" i="28"/>
  <c r="E295" i="29"/>
  <c r="K146" i="28"/>
  <c r="K129" i="28"/>
  <c r="L129" i="28" s="1"/>
  <c r="K127" i="28"/>
  <c r="L153" i="28"/>
  <c r="E214" i="29"/>
  <c r="K128" i="28"/>
  <c r="L128" i="28" s="1"/>
  <c r="E109" i="29"/>
  <c r="D31" i="29"/>
  <c r="I8" i="28"/>
  <c r="K157" i="28"/>
  <c r="I159" i="28"/>
  <c r="I59" i="28"/>
  <c r="K139" i="28"/>
  <c r="C27" i="32" s="1"/>
  <c r="E62" i="29"/>
  <c r="E58" i="29" s="1"/>
  <c r="I28" i="28"/>
  <c r="D332" i="29"/>
  <c r="K75" i="28"/>
  <c r="K134" i="28"/>
  <c r="J109" i="28"/>
  <c r="L111" i="28"/>
  <c r="E238" i="29"/>
  <c r="J126" i="28"/>
  <c r="K81" i="28"/>
  <c r="L81" i="28" s="1"/>
  <c r="D95" i="29"/>
  <c r="E101" i="29"/>
  <c r="E95" i="29" s="1"/>
  <c r="J36" i="28"/>
  <c r="J159" i="28"/>
  <c r="L157" i="28"/>
  <c r="I130" i="28"/>
  <c r="K125" i="28"/>
  <c r="C113" i="32"/>
  <c r="K48" i="28"/>
  <c r="I47" i="28"/>
  <c r="L159" i="28" l="1"/>
  <c r="D128" i="29"/>
  <c r="D108" i="29" s="1"/>
  <c r="E275" i="29"/>
  <c r="E340" i="29" s="1"/>
  <c r="K141" i="28"/>
  <c r="C29" i="32" s="1"/>
  <c r="C34" i="32"/>
  <c r="K60" i="28"/>
  <c r="L60" i="28" s="1"/>
  <c r="K77" i="28"/>
  <c r="L77" i="28" s="1"/>
  <c r="D275" i="29"/>
  <c r="J155" i="28"/>
  <c r="C36" i="32"/>
  <c r="C103" i="32"/>
  <c r="E128" i="29"/>
  <c r="E108" i="29" s="1"/>
  <c r="L67" i="28"/>
  <c r="I90" i="28"/>
  <c r="K88" i="28"/>
  <c r="C55" i="32" s="1"/>
  <c r="C38" i="32"/>
  <c r="K29" i="28"/>
  <c r="K73" i="28"/>
  <c r="L73" i="28" s="1"/>
  <c r="E30" i="29"/>
  <c r="K149" i="28"/>
  <c r="C31" i="32" s="1"/>
  <c r="L139" i="28"/>
  <c r="K47" i="28"/>
  <c r="J130" i="28"/>
  <c r="K126" i="28"/>
  <c r="L126" i="28" s="1"/>
  <c r="K159" i="28"/>
  <c r="K41" i="28"/>
  <c r="C52" i="32" s="1"/>
  <c r="C54" i="32" s="1"/>
  <c r="L36" i="28"/>
  <c r="K36" i="28"/>
  <c r="K109" i="28"/>
  <c r="L109" i="28" s="1"/>
  <c r="I58" i="28"/>
  <c r="K58" i="28" s="1"/>
  <c r="L58" i="28" s="1"/>
  <c r="K59" i="28"/>
  <c r="L18" i="28"/>
  <c r="K18" i="28"/>
  <c r="I7" i="28"/>
  <c r="K8" i="28"/>
  <c r="D30" i="29"/>
  <c r="L141" i="28" l="1"/>
  <c r="K130" i="28"/>
  <c r="L130" i="28" s="1"/>
  <c r="K155" i="28"/>
  <c r="L155" i="28" s="1"/>
  <c r="C35" i="32"/>
  <c r="K90" i="28"/>
  <c r="L90" i="28" s="1"/>
  <c r="D207" i="29"/>
  <c r="C50" i="32"/>
  <c r="L149" i="28"/>
  <c r="E207" i="29"/>
  <c r="C45" i="32"/>
  <c r="L59" i="28"/>
  <c r="L41" i="28"/>
  <c r="K72" i="28"/>
  <c r="C47" i="32" s="1"/>
  <c r="L34" i="28"/>
  <c r="K34" i="28"/>
  <c r="K7" i="28"/>
  <c r="L7" i="28" s="1"/>
  <c r="I37" i="28"/>
  <c r="I46" i="28"/>
  <c r="L17" i="28"/>
  <c r="K17" i="28"/>
  <c r="C51" i="32" l="1"/>
  <c r="L72" i="28"/>
  <c r="K46" i="28"/>
  <c r="L46" i="28" s="1"/>
  <c r="I86" i="28"/>
  <c r="J37" i="28"/>
  <c r="K13" i="28"/>
  <c r="L13" i="28" s="1"/>
  <c r="L28" i="28"/>
  <c r="K28" i="28"/>
  <c r="I92" i="28" l="1"/>
  <c r="K37" i="28"/>
  <c r="L37" i="28" s="1"/>
  <c r="H1243" i="3" l="1"/>
  <c r="H390" i="2" s="1"/>
  <c r="H389" i="2"/>
  <c r="H391" i="2" l="1"/>
  <c r="E830" i="3" l="1"/>
  <c r="E829" i="3"/>
  <c r="E828" i="3"/>
  <c r="E827" i="3"/>
  <c r="E826" i="3"/>
  <c r="E825" i="3"/>
  <c r="E824" i="3"/>
  <c r="E823" i="3"/>
  <c r="E811" i="3"/>
  <c r="E810" i="3"/>
  <c r="E809" i="3"/>
  <c r="E808" i="3"/>
  <c r="E807" i="3"/>
  <c r="E806" i="3"/>
  <c r="E805" i="3"/>
  <c r="E804" i="3"/>
  <c r="E1242" i="3" l="1"/>
  <c r="E1240" i="3"/>
  <c r="D584" i="4" s="1"/>
  <c r="E583" i="4"/>
  <c r="E1238" i="3"/>
  <c r="D583" i="4" s="1"/>
  <c r="E1235" i="3"/>
  <c r="D581" i="4" s="1"/>
  <c r="E580" i="4"/>
  <c r="E114" i="1" s="1"/>
  <c r="E1233" i="3"/>
  <c r="D580" i="4" s="1"/>
  <c r="E579" i="4"/>
  <c r="E113" i="1" s="1"/>
  <c r="E1231" i="3"/>
  <c r="D579" i="4" s="1"/>
  <c r="E1229" i="3"/>
  <c r="D578" i="4" s="1"/>
  <c r="E573" i="4"/>
  <c r="E1225" i="3"/>
  <c r="D573" i="4" s="1"/>
  <c r="E572" i="4"/>
  <c r="E1223" i="3"/>
  <c r="D572" i="4" s="1"/>
  <c r="E571" i="4"/>
  <c r="E1221" i="3"/>
  <c r="D571" i="4" s="1"/>
  <c r="E570" i="4"/>
  <c r="E1219" i="3"/>
  <c r="D570" i="4" s="1"/>
  <c r="E569" i="4"/>
  <c r="E1217" i="3"/>
  <c r="D569" i="4" s="1"/>
  <c r="E568" i="4"/>
  <c r="E1215" i="3"/>
  <c r="D568" i="4" s="1"/>
  <c r="E567" i="4"/>
  <c r="E1213" i="3"/>
  <c r="D567" i="4" s="1"/>
  <c r="E1211" i="3"/>
  <c r="D566" i="4" s="1"/>
  <c r="E564" i="4"/>
  <c r="E1208" i="3"/>
  <c r="D564" i="4" s="1"/>
  <c r="E1206" i="3"/>
  <c r="D563" i="4" s="1"/>
  <c r="E561" i="4"/>
  <c r="E1203" i="3"/>
  <c r="D561" i="4" s="1"/>
  <c r="E560" i="4"/>
  <c r="E1201" i="3"/>
  <c r="D560" i="4" s="1"/>
  <c r="E559" i="4"/>
  <c r="E1199" i="3"/>
  <c r="D559" i="4" s="1"/>
  <c r="E558" i="4"/>
  <c r="E1197" i="3"/>
  <c r="D558" i="4" s="1"/>
  <c r="E557" i="4"/>
  <c r="E1195" i="3"/>
  <c r="D557" i="4" s="1"/>
  <c r="E556" i="4"/>
  <c r="E1193" i="3"/>
  <c r="D556" i="4" s="1"/>
  <c r="E555" i="4"/>
  <c r="E1191" i="3"/>
  <c r="D555" i="4" s="1"/>
  <c r="E1189" i="3"/>
  <c r="D554" i="4" s="1"/>
  <c r="E1186" i="3"/>
  <c r="D552" i="4" s="1"/>
  <c r="E550" i="4"/>
  <c r="E1183" i="3"/>
  <c r="D550" i="4" s="1"/>
  <c r="E549" i="4"/>
  <c r="E1181" i="3"/>
  <c r="D549" i="4" s="1"/>
  <c r="E546" i="4"/>
  <c r="E1177" i="3"/>
  <c r="D546" i="4" s="1"/>
  <c r="E545" i="4"/>
  <c r="E1175" i="3"/>
  <c r="D545" i="4" s="1"/>
  <c r="E1172" i="3"/>
  <c r="D543" i="4" s="1"/>
  <c r="E513" i="4"/>
  <c r="E96" i="1" s="1"/>
  <c r="E1168" i="3"/>
  <c r="D513" i="4" s="1"/>
  <c r="E509" i="4"/>
  <c r="E1165" i="3"/>
  <c r="D509" i="4" s="1"/>
  <c r="E508" i="4"/>
  <c r="E1163" i="3"/>
  <c r="D508" i="4" s="1"/>
  <c r="E1160" i="3"/>
  <c r="E1159" i="3"/>
  <c r="E505" i="4"/>
  <c r="E1157" i="3"/>
  <c r="D505" i="4" s="1"/>
  <c r="E504" i="4"/>
  <c r="E1155" i="3"/>
  <c r="D504" i="4" s="1"/>
  <c r="E490" i="4"/>
  <c r="E1151" i="3"/>
  <c r="D490" i="4" s="1"/>
  <c r="E489" i="4"/>
  <c r="E1149" i="3"/>
  <c r="D489" i="4" s="1"/>
  <c r="E488" i="4"/>
  <c r="E1147" i="3"/>
  <c r="D488" i="4" s="1"/>
  <c r="E487" i="4"/>
  <c r="E1145" i="3"/>
  <c r="D487" i="4" s="1"/>
  <c r="E486" i="4"/>
  <c r="E1143" i="3"/>
  <c r="D486" i="4" s="1"/>
  <c r="E485" i="4"/>
  <c r="E1141" i="3"/>
  <c r="D485" i="4" s="1"/>
  <c r="E484" i="4"/>
  <c r="E1139" i="3"/>
  <c r="D484" i="4" s="1"/>
  <c r="E483" i="4"/>
  <c r="E1137" i="3"/>
  <c r="D483" i="4" s="1"/>
  <c r="E482" i="4"/>
  <c r="E1135" i="3"/>
  <c r="D482" i="4" s="1"/>
  <c r="E481" i="4"/>
  <c r="E1133" i="3"/>
  <c r="D481" i="4" s="1"/>
  <c r="E1130" i="3"/>
  <c r="D479" i="4" s="1"/>
  <c r="E1128" i="3"/>
  <c r="E1127" i="3"/>
  <c r="E477" i="4"/>
  <c r="E1125" i="3"/>
  <c r="D477" i="4" s="1"/>
  <c r="E476" i="4"/>
  <c r="E1123" i="3"/>
  <c r="D476" i="4" s="1"/>
  <c r="E475" i="4"/>
  <c r="E1121" i="3"/>
  <c r="D475" i="4" s="1"/>
  <c r="E474" i="4"/>
  <c r="E1119" i="3"/>
  <c r="D474" i="4" s="1"/>
  <c r="E1116" i="3"/>
  <c r="E1115" i="3"/>
  <c r="E471" i="4"/>
  <c r="E1113" i="3"/>
  <c r="D471" i="4" s="1"/>
  <c r="E1111" i="3"/>
  <c r="E1110" i="3"/>
  <c r="E1109" i="3"/>
  <c r="E469" i="4"/>
  <c r="E1107" i="3"/>
  <c r="D469" i="4" s="1"/>
  <c r="E1105" i="3"/>
  <c r="D468" i="4" s="1"/>
  <c r="E467" i="4"/>
  <c r="E1103" i="3"/>
  <c r="D467" i="4" s="1"/>
  <c r="E466" i="4"/>
  <c r="E1101" i="3"/>
  <c r="D466" i="4" s="1"/>
  <c r="E465" i="4"/>
  <c r="E1099" i="3"/>
  <c r="D465" i="4" s="1"/>
  <c r="E462" i="4"/>
  <c r="E1095" i="3"/>
  <c r="D462" i="4" s="1"/>
  <c r="E461" i="4"/>
  <c r="E1093" i="3"/>
  <c r="D461" i="4" s="1"/>
  <c r="E1091" i="3"/>
  <c r="D460" i="4" s="1"/>
  <c r="E459" i="4"/>
  <c r="E1089" i="3"/>
  <c r="D459" i="4" s="1"/>
  <c r="E458" i="4"/>
  <c r="E1087" i="3"/>
  <c r="D458" i="4" s="1"/>
  <c r="E457" i="4"/>
  <c r="E1085" i="3"/>
  <c r="D457" i="4" s="1"/>
  <c r="E1082" i="3"/>
  <c r="D455" i="4" s="1"/>
  <c r="E454" i="4"/>
  <c r="E1080" i="3"/>
  <c r="D454" i="4" s="1"/>
  <c r="E453" i="4"/>
  <c r="E1078" i="3"/>
  <c r="D453" i="4" s="1"/>
  <c r="E452" i="4"/>
  <c r="E1076" i="3"/>
  <c r="D452" i="4" s="1"/>
  <c r="E451" i="4"/>
  <c r="E1074" i="3"/>
  <c r="D451" i="4" s="1"/>
  <c r="E450" i="4"/>
  <c r="E1072" i="3"/>
  <c r="D450" i="4" s="1"/>
  <c r="E449" i="4"/>
  <c r="E1070" i="3"/>
  <c r="D449" i="4" s="1"/>
  <c r="E448" i="4"/>
  <c r="E1068" i="3"/>
  <c r="D448" i="4" s="1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0" i="3"/>
  <c r="E1019" i="3"/>
  <c r="E1018" i="3"/>
  <c r="E1017" i="3"/>
  <c r="E1016" i="3"/>
  <c r="E1015" i="3"/>
  <c r="E1014" i="3"/>
  <c r="E1013" i="3"/>
  <c r="E1012" i="3"/>
  <c r="E1011" i="3"/>
  <c r="E1009" i="3"/>
  <c r="E1008" i="3"/>
  <c r="E1007" i="3"/>
  <c r="E1006" i="3"/>
  <c r="E1002" i="3"/>
  <c r="E1001" i="3"/>
  <c r="E1000" i="3"/>
  <c r="E999" i="3"/>
  <c r="E998" i="3"/>
  <c r="E441" i="4"/>
  <c r="E996" i="3"/>
  <c r="D441" i="4" s="1"/>
  <c r="E440" i="4"/>
  <c r="E994" i="3"/>
  <c r="E990" i="3"/>
  <c r="E989" i="3"/>
  <c r="E988" i="3"/>
  <c r="E987" i="3"/>
  <c r="E986" i="3"/>
  <c r="E985" i="3"/>
  <c r="E984" i="3"/>
  <c r="E983" i="3"/>
  <c r="E435" i="4"/>
  <c r="E981" i="3"/>
  <c r="D435" i="4" s="1"/>
  <c r="E434" i="4"/>
  <c r="E979" i="3"/>
  <c r="D434" i="4" s="1"/>
  <c r="E977" i="3"/>
  <c r="E976" i="3"/>
  <c r="E975" i="3"/>
  <c r="E973" i="3"/>
  <c r="E972" i="3"/>
  <c r="E971" i="3"/>
  <c r="E969" i="3"/>
  <c r="E968" i="3"/>
  <c r="E967" i="3"/>
  <c r="E965" i="3"/>
  <c r="E964" i="3"/>
  <c r="E963" i="3"/>
  <c r="E430" i="4"/>
  <c r="E959" i="3"/>
  <c r="D430" i="4" s="1"/>
  <c r="E957" i="3"/>
  <c r="E956" i="3"/>
  <c r="E955" i="3"/>
  <c r="E954" i="3"/>
  <c r="E953" i="3"/>
  <c r="E952" i="3"/>
  <c r="E951" i="3"/>
  <c r="E427" i="4"/>
  <c r="E948" i="3"/>
  <c r="D427" i="4" s="1"/>
  <c r="E946" i="3"/>
  <c r="E945" i="3"/>
  <c r="E944" i="3"/>
  <c r="E943" i="3"/>
  <c r="E942" i="3"/>
  <c r="E941" i="3"/>
  <c r="E940" i="3"/>
  <c r="E938" i="3"/>
  <c r="E937" i="3"/>
  <c r="E936" i="3"/>
  <c r="E934" i="3"/>
  <c r="E932" i="3"/>
  <c r="E931" i="3"/>
  <c r="E930" i="3"/>
  <c r="E929" i="3"/>
  <c r="E928" i="3"/>
  <c r="E927" i="3"/>
  <c r="E926" i="3"/>
  <c r="E924" i="3"/>
  <c r="E923" i="3"/>
  <c r="E922" i="3"/>
  <c r="E920" i="3"/>
  <c r="E423" i="4"/>
  <c r="E917" i="3"/>
  <c r="D423" i="4" s="1"/>
  <c r="E915" i="3"/>
  <c r="E914" i="3"/>
  <c r="E913" i="3"/>
  <c r="E912" i="3"/>
  <c r="E911" i="3"/>
  <c r="E910" i="3"/>
  <c r="E909" i="3"/>
  <c r="E908" i="3"/>
  <c r="E906" i="3"/>
  <c r="E905" i="3"/>
  <c r="E904" i="3"/>
  <c r="E903" i="3"/>
  <c r="E902" i="3"/>
  <c r="E901" i="3"/>
  <c r="E900" i="3"/>
  <c r="E899" i="3"/>
  <c r="E418" i="4"/>
  <c r="E894" i="3"/>
  <c r="D418" i="4" s="1"/>
  <c r="E892" i="3"/>
  <c r="E891" i="3"/>
  <c r="E890" i="3"/>
  <c r="E889" i="3"/>
  <c r="E888" i="3"/>
  <c r="E887" i="3"/>
  <c r="E886" i="3"/>
  <c r="E884" i="3"/>
  <c r="E883" i="3"/>
  <c r="E882" i="3"/>
  <c r="E880" i="3"/>
  <c r="E878" i="3"/>
  <c r="E877" i="3"/>
  <c r="E876" i="3"/>
  <c r="E875" i="3"/>
  <c r="E874" i="3"/>
  <c r="E873" i="3"/>
  <c r="E872" i="3"/>
  <c r="E870" i="3"/>
  <c r="E869" i="3"/>
  <c r="E868" i="3"/>
  <c r="E866" i="3"/>
  <c r="E863" i="3"/>
  <c r="E862" i="3"/>
  <c r="E861" i="3"/>
  <c r="E860" i="3"/>
  <c r="E859" i="3"/>
  <c r="E858" i="3"/>
  <c r="E857" i="3"/>
  <c r="E855" i="3"/>
  <c r="E854" i="3"/>
  <c r="E853" i="3"/>
  <c r="E851" i="3"/>
  <c r="E849" i="3"/>
  <c r="E848" i="3"/>
  <c r="E847" i="3"/>
  <c r="E846" i="3"/>
  <c r="E845" i="3"/>
  <c r="E844" i="3"/>
  <c r="E843" i="3"/>
  <c r="E841" i="3"/>
  <c r="E840" i="3"/>
  <c r="E839" i="3"/>
  <c r="E837" i="3"/>
  <c r="E414" i="4"/>
  <c r="E832" i="3"/>
  <c r="D414" i="4" s="1"/>
  <c r="E821" i="3"/>
  <c r="E820" i="3"/>
  <c r="E819" i="3"/>
  <c r="E818" i="3"/>
  <c r="E817" i="3"/>
  <c r="E816" i="3"/>
  <c r="E815" i="3"/>
  <c r="E814" i="3"/>
  <c r="E802" i="3"/>
  <c r="E801" i="3"/>
  <c r="E800" i="3"/>
  <c r="E799" i="3"/>
  <c r="E798" i="3"/>
  <c r="E797" i="3"/>
  <c r="E796" i="3"/>
  <c r="E795" i="3"/>
  <c r="E409" i="4"/>
  <c r="E790" i="3"/>
  <c r="D409" i="4" s="1"/>
  <c r="E788" i="3"/>
  <c r="E787" i="3"/>
  <c r="E786" i="3"/>
  <c r="E785" i="3"/>
  <c r="E784" i="3"/>
  <c r="E783" i="3"/>
  <c r="E782" i="3"/>
  <c r="E780" i="3"/>
  <c r="E779" i="3"/>
  <c r="E778" i="3"/>
  <c r="E776" i="3"/>
  <c r="E774" i="3"/>
  <c r="E773" i="3"/>
  <c r="E772" i="3"/>
  <c r="E771" i="3"/>
  <c r="E770" i="3"/>
  <c r="E769" i="3"/>
  <c r="E768" i="3"/>
  <c r="E766" i="3"/>
  <c r="E765" i="3"/>
  <c r="E764" i="3"/>
  <c r="E762" i="3"/>
  <c r="E405" i="4"/>
  <c r="E759" i="3"/>
  <c r="D405" i="4" s="1"/>
  <c r="E757" i="3"/>
  <c r="E756" i="3"/>
  <c r="E755" i="3"/>
  <c r="E754" i="3"/>
  <c r="E753" i="3"/>
  <c r="E752" i="3"/>
  <c r="E751" i="3"/>
  <c r="E750" i="3"/>
  <c r="E748" i="3"/>
  <c r="E747" i="3"/>
  <c r="E746" i="3"/>
  <c r="E745" i="3"/>
  <c r="E744" i="3"/>
  <c r="E743" i="3"/>
  <c r="E742" i="3"/>
  <c r="E741" i="3"/>
  <c r="E400" i="4"/>
  <c r="E737" i="3"/>
  <c r="D400" i="4" s="1"/>
  <c r="E735" i="3"/>
  <c r="E734" i="3"/>
  <c r="E733" i="3"/>
  <c r="E732" i="3"/>
  <c r="E731" i="3"/>
  <c r="E730" i="3"/>
  <c r="E729" i="3"/>
  <c r="E727" i="3"/>
  <c r="E726" i="3"/>
  <c r="E725" i="3"/>
  <c r="E723" i="3"/>
  <c r="E721" i="3"/>
  <c r="E720" i="3"/>
  <c r="E719" i="3"/>
  <c r="E718" i="3"/>
  <c r="E717" i="3"/>
  <c r="E716" i="3"/>
  <c r="E715" i="3"/>
  <c r="E713" i="3"/>
  <c r="E712" i="3"/>
  <c r="E711" i="3"/>
  <c r="E709" i="3"/>
  <c r="E707" i="3"/>
  <c r="E706" i="3"/>
  <c r="E705" i="3"/>
  <c r="E704" i="3"/>
  <c r="E703" i="3"/>
  <c r="E702" i="3"/>
  <c r="E701" i="3"/>
  <c r="E699" i="3"/>
  <c r="E698" i="3"/>
  <c r="E697" i="3"/>
  <c r="E695" i="3"/>
  <c r="E664" i="3"/>
  <c r="E663" i="3"/>
  <c r="E662" i="3"/>
  <c r="E661" i="3"/>
  <c r="E660" i="3"/>
  <c r="E659" i="3"/>
  <c r="E658" i="3"/>
  <c r="E656" i="3"/>
  <c r="E655" i="3"/>
  <c r="E654" i="3"/>
  <c r="E652" i="3"/>
  <c r="E396" i="4"/>
  <c r="E648" i="3"/>
  <c r="D396" i="4" s="1"/>
  <c r="E646" i="3"/>
  <c r="E645" i="3"/>
  <c r="E644" i="3"/>
  <c r="E643" i="3"/>
  <c r="E642" i="3"/>
  <c r="E641" i="3"/>
  <c r="E640" i="3"/>
  <c r="E639" i="3"/>
  <c r="E637" i="3"/>
  <c r="E636" i="3"/>
  <c r="E635" i="3"/>
  <c r="E634" i="3"/>
  <c r="E633" i="3"/>
  <c r="E632" i="3"/>
  <c r="E631" i="3"/>
  <c r="E630" i="3"/>
  <c r="E392" i="4"/>
  <c r="E627" i="3"/>
  <c r="D392" i="4" s="1"/>
  <c r="E625" i="3"/>
  <c r="E624" i="3"/>
  <c r="E623" i="3"/>
  <c r="E622" i="3"/>
  <c r="E621" i="3"/>
  <c r="E620" i="3"/>
  <c r="E619" i="3"/>
  <c r="E618" i="3"/>
  <c r="E616" i="3"/>
  <c r="E615" i="3"/>
  <c r="E614" i="3"/>
  <c r="E613" i="3"/>
  <c r="E612" i="3"/>
  <c r="E611" i="3"/>
  <c r="E610" i="3"/>
  <c r="E609" i="3"/>
  <c r="E385" i="4"/>
  <c r="E603" i="3"/>
  <c r="D385" i="4" s="1"/>
  <c r="E384" i="4"/>
  <c r="E601" i="3"/>
  <c r="D384" i="4" s="1"/>
  <c r="E599" i="3"/>
  <c r="E598" i="3"/>
  <c r="E596" i="3"/>
  <c r="E595" i="3"/>
  <c r="E592" i="3"/>
  <c r="E591" i="3"/>
  <c r="E590" i="3"/>
  <c r="E589" i="3"/>
  <c r="E379" i="4"/>
  <c r="E587" i="3"/>
  <c r="D379" i="4" s="1"/>
  <c r="E584" i="3"/>
  <c r="E583" i="3"/>
  <c r="E375" i="4"/>
  <c r="E580" i="3"/>
  <c r="D375" i="4" s="1"/>
  <c r="E578" i="3"/>
  <c r="E577" i="3"/>
  <c r="E576" i="3"/>
  <c r="E373" i="4"/>
  <c r="E574" i="3"/>
  <c r="D373" i="4" s="1"/>
  <c r="E372" i="4"/>
  <c r="E572" i="3"/>
  <c r="D372" i="4" s="1"/>
  <c r="E371" i="4"/>
  <c r="E570" i="3"/>
  <c r="D371" i="4" s="1"/>
  <c r="E568" i="3"/>
  <c r="E567" i="3"/>
  <c r="E566" i="3"/>
  <c r="E369" i="4"/>
  <c r="E564" i="3"/>
  <c r="D369" i="4" s="1"/>
  <c r="E367" i="4"/>
  <c r="E561" i="3"/>
  <c r="D367" i="4" s="1"/>
  <c r="E366" i="4"/>
  <c r="E559" i="3"/>
  <c r="D366" i="4" s="1"/>
  <c r="E364" i="4"/>
  <c r="E556" i="3"/>
  <c r="D364" i="4" s="1"/>
  <c r="E363" i="4"/>
  <c r="E554" i="3"/>
  <c r="D363" i="4" s="1"/>
  <c r="E362" i="4"/>
  <c r="E552" i="3"/>
  <c r="D362" i="4" s="1"/>
  <c r="E360" i="4"/>
  <c r="E549" i="3"/>
  <c r="D360" i="4" s="1"/>
  <c r="E547" i="3"/>
  <c r="E546" i="3"/>
  <c r="E545" i="3"/>
  <c r="E544" i="3"/>
  <c r="E543" i="3"/>
  <c r="E358" i="4"/>
  <c r="E541" i="3"/>
  <c r="D358" i="4" s="1"/>
  <c r="E357" i="4"/>
  <c r="E539" i="3"/>
  <c r="D357" i="4" s="1"/>
  <c r="E356" i="4"/>
  <c r="E537" i="3"/>
  <c r="D356" i="4" s="1"/>
  <c r="E535" i="3"/>
  <c r="E534" i="3"/>
  <c r="E533" i="3"/>
  <c r="E532" i="3"/>
  <c r="E531" i="3"/>
  <c r="E353" i="4"/>
  <c r="E528" i="3"/>
  <c r="D353" i="4" s="1"/>
  <c r="E352" i="4"/>
  <c r="E526" i="3"/>
  <c r="D352" i="4" s="1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7" i="3"/>
  <c r="E506" i="3"/>
  <c r="E348" i="4"/>
  <c r="E504" i="3"/>
  <c r="D348" i="4" s="1"/>
  <c r="E346" i="4"/>
  <c r="E501" i="3"/>
  <c r="D346" i="4" s="1"/>
  <c r="E345" i="4"/>
  <c r="E499" i="3"/>
  <c r="D345" i="4" s="1"/>
  <c r="E496" i="3"/>
  <c r="E495" i="3"/>
  <c r="E494" i="3"/>
  <c r="E493" i="3"/>
  <c r="E492" i="3"/>
  <c r="E342" i="4"/>
  <c r="E490" i="3"/>
  <c r="D342" i="4" s="1"/>
  <c r="E488" i="3"/>
  <c r="E487" i="3"/>
  <c r="E340" i="4"/>
  <c r="E485" i="3"/>
  <c r="D340" i="4" s="1"/>
  <c r="E339" i="4"/>
  <c r="E483" i="3"/>
  <c r="D339" i="4" s="1"/>
  <c r="E481" i="3"/>
  <c r="E480" i="3"/>
  <c r="E479" i="3"/>
  <c r="E337" i="4"/>
  <c r="E477" i="3"/>
  <c r="D337" i="4" s="1"/>
  <c r="E336" i="4"/>
  <c r="E475" i="3"/>
  <c r="D336" i="4" s="1"/>
  <c r="E335" i="4"/>
  <c r="E473" i="3"/>
  <c r="D335" i="4" s="1"/>
  <c r="E333" i="4"/>
  <c r="E470" i="3"/>
  <c r="D333" i="4" s="1"/>
  <c r="E332" i="4"/>
  <c r="E468" i="3"/>
  <c r="D332" i="4" s="1"/>
  <c r="E329" i="4"/>
  <c r="E58" i="1" s="1"/>
  <c r="E464" i="3"/>
  <c r="D329" i="4" s="1"/>
  <c r="E328" i="4"/>
  <c r="E462" i="3"/>
  <c r="D328" i="4" s="1"/>
  <c r="E327" i="4"/>
  <c r="E460" i="3"/>
  <c r="D327" i="4" s="1"/>
  <c r="E326" i="4"/>
  <c r="E458" i="3"/>
  <c r="D326" i="4" s="1"/>
  <c r="E456" i="3"/>
  <c r="E455" i="3"/>
  <c r="E454" i="3"/>
  <c r="E453" i="3"/>
  <c r="E324" i="4"/>
  <c r="E451" i="3"/>
  <c r="D324" i="4" s="1"/>
  <c r="E323" i="4"/>
  <c r="E449" i="3"/>
  <c r="D323" i="4" s="1"/>
  <c r="E322" i="4"/>
  <c r="E447" i="3"/>
  <c r="D322" i="4" s="1"/>
  <c r="E320" i="4"/>
  <c r="E444" i="3"/>
  <c r="D320" i="4" s="1"/>
  <c r="E319" i="4"/>
  <c r="E442" i="3"/>
  <c r="D319" i="4" s="1"/>
  <c r="E318" i="4"/>
  <c r="E440" i="3"/>
  <c r="D318" i="4" s="1"/>
  <c r="E437" i="3"/>
  <c r="E436" i="3"/>
  <c r="E435" i="3"/>
  <c r="E434" i="3"/>
  <c r="E433" i="3"/>
  <c r="E432" i="3"/>
  <c r="E431" i="3"/>
  <c r="E430" i="3"/>
  <c r="E429" i="3"/>
  <c r="E315" i="4"/>
  <c r="E427" i="3"/>
  <c r="D315" i="4" s="1"/>
  <c r="E425" i="3"/>
  <c r="E424" i="3"/>
  <c r="E423" i="3"/>
  <c r="E422" i="3"/>
  <c r="E421" i="3"/>
  <c r="E420" i="3"/>
  <c r="E418" i="3"/>
  <c r="E417" i="3"/>
  <c r="E416" i="3"/>
  <c r="E415" i="3"/>
  <c r="E413" i="3"/>
  <c r="E412" i="3"/>
  <c r="E411" i="3"/>
  <c r="E311" i="4"/>
  <c r="E409" i="3"/>
  <c r="D311" i="4" s="1"/>
  <c r="E309" i="4"/>
  <c r="E406" i="3"/>
  <c r="D309" i="4" s="1"/>
  <c r="E308" i="4"/>
  <c r="E404" i="3"/>
  <c r="D308" i="4" s="1"/>
  <c r="E306" i="4"/>
  <c r="E401" i="3"/>
  <c r="D306" i="4" s="1"/>
  <c r="E399" i="3"/>
  <c r="E398" i="3"/>
  <c r="E396" i="3"/>
  <c r="E395" i="3"/>
  <c r="E394" i="3"/>
  <c r="E393" i="3"/>
  <c r="E392" i="3"/>
  <c r="E391" i="3"/>
  <c r="E390" i="3"/>
  <c r="E389" i="3"/>
  <c r="E388" i="3"/>
  <c r="E387" i="3"/>
  <c r="E303" i="4"/>
  <c r="E385" i="3"/>
  <c r="D303" i="4" s="1"/>
  <c r="E302" i="4"/>
  <c r="E383" i="3"/>
  <c r="D302" i="4" s="1"/>
  <c r="E301" i="4"/>
  <c r="E381" i="3"/>
  <c r="D301" i="4" s="1"/>
  <c r="E300" i="4"/>
  <c r="E379" i="3"/>
  <c r="D300" i="4" s="1"/>
  <c r="E376" i="3"/>
  <c r="E375" i="3"/>
  <c r="E374" i="3"/>
  <c r="E373" i="3"/>
  <c r="E372" i="3"/>
  <c r="E371" i="3"/>
  <c r="E370" i="3"/>
  <c r="E369" i="3"/>
  <c r="E368" i="3"/>
  <c r="E366" i="3"/>
  <c r="E365" i="3"/>
  <c r="E364" i="3"/>
  <c r="E363" i="3"/>
  <c r="E362" i="3"/>
  <c r="E361" i="3"/>
  <c r="E360" i="3"/>
  <c r="E359" i="3"/>
  <c r="E358" i="3"/>
  <c r="E357" i="3"/>
  <c r="E356" i="3"/>
  <c r="E354" i="3"/>
  <c r="E353" i="3"/>
  <c r="E352" i="3"/>
  <c r="E351" i="3"/>
  <c r="E349" i="3"/>
  <c r="E348" i="3"/>
  <c r="E347" i="3"/>
  <c r="E346" i="3"/>
  <c r="E294" i="4"/>
  <c r="E344" i="3"/>
  <c r="D294" i="4" s="1"/>
  <c r="E293" i="4"/>
  <c r="E342" i="3"/>
  <c r="D293" i="4" s="1"/>
  <c r="E292" i="4"/>
  <c r="E340" i="3"/>
  <c r="D292" i="4" s="1"/>
  <c r="E337" i="3"/>
  <c r="E336" i="3"/>
  <c r="E334" i="3"/>
  <c r="E333" i="3"/>
  <c r="E332" i="3"/>
  <c r="E331" i="3"/>
  <c r="E330" i="3"/>
  <c r="E329" i="3"/>
  <c r="E328" i="3"/>
  <c r="E327" i="3"/>
  <c r="E325" i="3"/>
  <c r="E324" i="3"/>
  <c r="E323" i="3"/>
  <c r="E287" i="4"/>
  <c r="E321" i="3"/>
  <c r="D287" i="4" s="1"/>
  <c r="E319" i="3"/>
  <c r="E318" i="3"/>
  <c r="E317" i="3"/>
  <c r="E316" i="3"/>
  <c r="E285" i="4"/>
  <c r="E314" i="3"/>
  <c r="D285" i="4" s="1"/>
  <c r="E284" i="4"/>
  <c r="E312" i="3"/>
  <c r="D284" i="4" s="1"/>
  <c r="E308" i="3"/>
  <c r="E307" i="3"/>
  <c r="E306" i="3"/>
  <c r="E305" i="3"/>
  <c r="E280" i="4"/>
  <c r="E303" i="3"/>
  <c r="D280" i="4" s="1"/>
  <c r="E279" i="4"/>
  <c r="E301" i="3"/>
  <c r="D279" i="4" s="1"/>
  <c r="E278" i="4"/>
  <c r="E299" i="3"/>
  <c r="D278" i="4" s="1"/>
  <c r="E276" i="4"/>
  <c r="E296" i="3"/>
  <c r="D276" i="4" s="1"/>
  <c r="E275" i="4"/>
  <c r="E294" i="3"/>
  <c r="D275" i="4" s="1"/>
  <c r="E274" i="4"/>
  <c r="E292" i="3"/>
  <c r="D274" i="4" s="1"/>
  <c r="E273" i="4"/>
  <c r="E290" i="3"/>
  <c r="D273" i="4" s="1"/>
  <c r="E272" i="4"/>
  <c r="E288" i="3"/>
  <c r="D272" i="4" s="1"/>
  <c r="E270" i="4"/>
  <c r="E285" i="3"/>
  <c r="D270" i="4" s="1"/>
  <c r="E269" i="4"/>
  <c r="E283" i="3"/>
  <c r="D269" i="4" s="1"/>
  <c r="E268" i="4"/>
  <c r="E281" i="3"/>
  <c r="D268" i="4" s="1"/>
  <c r="E267" i="4"/>
  <c r="E279" i="3"/>
  <c r="D267" i="4" s="1"/>
  <c r="E266" i="4"/>
  <c r="E277" i="3"/>
  <c r="D266" i="4" s="1"/>
  <c r="E275" i="3"/>
  <c r="E274" i="3"/>
  <c r="E263" i="4"/>
  <c r="E271" i="3"/>
  <c r="D263" i="4" s="1"/>
  <c r="E262" i="4"/>
  <c r="E269" i="3"/>
  <c r="D262" i="4" s="1"/>
  <c r="E261" i="4"/>
  <c r="E267" i="3"/>
  <c r="D261" i="4" s="1"/>
  <c r="E260" i="4"/>
  <c r="E265" i="3"/>
  <c r="D260" i="4" s="1"/>
  <c r="E259" i="4"/>
  <c r="E263" i="3"/>
  <c r="D259" i="4" s="1"/>
  <c r="E257" i="4"/>
  <c r="E260" i="3"/>
  <c r="D257" i="4" s="1"/>
  <c r="E256" i="4"/>
  <c r="E258" i="3"/>
  <c r="D256" i="4" s="1"/>
  <c r="E255" i="4"/>
  <c r="E256" i="3"/>
  <c r="D255" i="4" s="1"/>
  <c r="E254" i="4"/>
  <c r="E254" i="3"/>
  <c r="D254" i="4" s="1"/>
  <c r="E253" i="4"/>
  <c r="E252" i="3"/>
  <c r="D253" i="4" s="1"/>
  <c r="E251" i="4"/>
  <c r="E249" i="3"/>
  <c r="D251" i="4" s="1"/>
  <c r="E250" i="4"/>
  <c r="E247" i="3"/>
  <c r="D250" i="4" s="1"/>
  <c r="E245" i="3"/>
  <c r="E244" i="3"/>
  <c r="E241" i="3"/>
  <c r="E240" i="3"/>
  <c r="E246" i="4"/>
  <c r="E238" i="3"/>
  <c r="D246" i="4" s="1"/>
  <c r="E245" i="4"/>
  <c r="E236" i="3"/>
  <c r="D245" i="4" s="1"/>
  <c r="E244" i="4"/>
  <c r="E234" i="3"/>
  <c r="D244" i="4" s="1"/>
  <c r="E231" i="3"/>
  <c r="E230" i="3"/>
  <c r="E229" i="3"/>
  <c r="E241" i="4"/>
  <c r="E227" i="3"/>
  <c r="D241" i="4" s="1"/>
  <c r="E240" i="4"/>
  <c r="E225" i="3"/>
  <c r="D240" i="4" s="1"/>
  <c r="E239" i="4"/>
  <c r="E223" i="3"/>
  <c r="D239" i="4" s="1"/>
  <c r="E220" i="3"/>
  <c r="E219" i="3"/>
  <c r="E217" i="3"/>
  <c r="E216" i="3"/>
  <c r="E235" i="4"/>
  <c r="E214" i="3"/>
  <c r="D235" i="4" s="1"/>
  <c r="E234" i="4"/>
  <c r="E212" i="3"/>
  <c r="D234" i="4" s="1"/>
  <c r="E233" i="4"/>
  <c r="E210" i="3"/>
  <c r="D233" i="4" s="1"/>
  <c r="E231" i="4"/>
  <c r="E207" i="3"/>
  <c r="D231" i="4" s="1"/>
  <c r="E230" i="4"/>
  <c r="E205" i="3"/>
  <c r="D230" i="4" s="1"/>
  <c r="E229" i="4"/>
  <c r="E203" i="3"/>
  <c r="D229" i="4" s="1"/>
  <c r="E228" i="4"/>
  <c r="E201" i="3"/>
  <c r="D228" i="4" s="1"/>
  <c r="E227" i="4"/>
  <c r="E199" i="3"/>
  <c r="D227" i="4" s="1"/>
  <c r="E226" i="4"/>
  <c r="E197" i="3"/>
  <c r="D226" i="4" s="1"/>
  <c r="E225" i="4"/>
  <c r="E195" i="3"/>
  <c r="D225" i="4" s="1"/>
  <c r="E224" i="4"/>
  <c r="E193" i="3"/>
  <c r="D224" i="4" s="1"/>
  <c r="E223" i="4"/>
  <c r="E191" i="3"/>
  <c r="D223" i="4" s="1"/>
  <c r="E222" i="4"/>
  <c r="E189" i="3"/>
  <c r="D222" i="4" s="1"/>
  <c r="E186" i="3"/>
  <c r="E185" i="3"/>
  <c r="E184" i="3"/>
  <c r="E183" i="3"/>
  <c r="E182" i="3"/>
  <c r="E181" i="3"/>
  <c r="E180" i="3"/>
  <c r="E219" i="4"/>
  <c r="E178" i="3"/>
  <c r="D219" i="4" s="1"/>
  <c r="E218" i="4"/>
  <c r="E176" i="3"/>
  <c r="D218" i="4" s="1"/>
  <c r="E217" i="4"/>
  <c r="E174" i="3"/>
  <c r="D217" i="4" s="1"/>
  <c r="E216" i="4"/>
  <c r="E172" i="3"/>
  <c r="D216" i="4" s="1"/>
  <c r="E215" i="4"/>
  <c r="E170" i="3"/>
  <c r="D215" i="4" s="1"/>
  <c r="E168" i="3"/>
  <c r="E167" i="3"/>
  <c r="E212" i="4"/>
  <c r="E164" i="3"/>
  <c r="D212" i="4" s="1"/>
  <c r="E211" i="4"/>
  <c r="E162" i="3"/>
  <c r="D211" i="4" s="1"/>
  <c r="E160" i="3"/>
  <c r="E159" i="3"/>
  <c r="E208" i="4"/>
  <c r="E156" i="3"/>
  <c r="D208" i="4" s="1"/>
  <c r="E207" i="4"/>
  <c r="E154" i="3"/>
  <c r="D207" i="4" s="1"/>
  <c r="E152" i="3"/>
  <c r="E151" i="3"/>
  <c r="E150" i="3"/>
  <c r="E149" i="3"/>
  <c r="E148" i="3"/>
  <c r="E147" i="3"/>
  <c r="E146" i="3"/>
  <c r="E145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8" i="3"/>
  <c r="E127" i="3"/>
  <c r="E126" i="3"/>
  <c r="E125" i="3"/>
  <c r="E124" i="3"/>
  <c r="E123" i="3"/>
  <c r="E122" i="3"/>
  <c r="E121" i="3"/>
  <c r="E120" i="3"/>
  <c r="E119" i="3"/>
  <c r="E118" i="3"/>
  <c r="E116" i="3"/>
  <c r="E115" i="3"/>
  <c r="E114" i="3"/>
  <c r="E113" i="3"/>
  <c r="E112" i="3"/>
  <c r="E111" i="3"/>
  <c r="E110" i="3"/>
  <c r="E109" i="3"/>
  <c r="E108" i="3"/>
  <c r="E107" i="3"/>
  <c r="E106" i="3"/>
  <c r="E100" i="3"/>
  <c r="E99" i="3"/>
  <c r="E98" i="3"/>
  <c r="E97" i="3"/>
  <c r="E96" i="3"/>
  <c r="E95" i="3"/>
  <c r="E93" i="3"/>
  <c r="E92" i="3"/>
  <c r="E90" i="3"/>
  <c r="E89" i="3"/>
  <c r="E88" i="3"/>
  <c r="E86" i="3"/>
  <c r="E85" i="3"/>
  <c r="E84" i="3"/>
  <c r="E83" i="3"/>
  <c r="E81" i="3"/>
  <c r="E80" i="3"/>
  <c r="E78" i="3"/>
  <c r="E77" i="3"/>
  <c r="E75" i="3"/>
  <c r="E74" i="3"/>
  <c r="E190" i="4"/>
  <c r="E71" i="3"/>
  <c r="E189" i="4"/>
  <c r="E69" i="3"/>
  <c r="E188" i="4"/>
  <c r="E67" i="3"/>
  <c r="E187" i="4"/>
  <c r="E65" i="3"/>
  <c r="E186" i="4"/>
  <c r="E63" i="3"/>
  <c r="E61" i="3"/>
  <c r="E60" i="3"/>
  <c r="E59" i="3"/>
  <c r="E57" i="3"/>
  <c r="E56" i="3"/>
  <c r="E55" i="3"/>
  <c r="E52" i="3"/>
  <c r="E51" i="3"/>
  <c r="E49" i="3"/>
  <c r="E48" i="3"/>
  <c r="E46" i="3"/>
  <c r="E45" i="3"/>
  <c r="E43" i="3"/>
  <c r="E42" i="3"/>
  <c r="E40" i="3"/>
  <c r="E39" i="3"/>
  <c r="E37" i="3"/>
  <c r="E36" i="3"/>
  <c r="E34" i="3"/>
  <c r="E33" i="3"/>
  <c r="E31" i="3"/>
  <c r="E30" i="3"/>
  <c r="E173" i="4"/>
  <c r="E27" i="3"/>
  <c r="E172" i="4"/>
  <c r="E25" i="3"/>
  <c r="E171" i="4"/>
  <c r="E23" i="3"/>
  <c r="E169" i="4"/>
  <c r="E20" i="3"/>
  <c r="E168" i="4"/>
  <c r="E18" i="3"/>
  <c r="E167" i="4"/>
  <c r="E16" i="3"/>
  <c r="E165" i="4"/>
  <c r="E13" i="3"/>
  <c r="E11" i="3"/>
  <c r="E10" i="3"/>
  <c r="E8" i="3"/>
  <c r="E7" i="3"/>
  <c r="E541" i="4"/>
  <c r="E388" i="2"/>
  <c r="D541" i="4" s="1"/>
  <c r="E540" i="4"/>
  <c r="E386" i="2"/>
  <c r="D540" i="4" s="1"/>
  <c r="E384" i="2"/>
  <c r="D539" i="4" s="1"/>
  <c r="E382" i="2"/>
  <c r="D538" i="4" s="1"/>
  <c r="E537" i="4"/>
  <c r="E380" i="2"/>
  <c r="D537" i="4" s="1"/>
  <c r="E536" i="4"/>
  <c r="E378" i="2"/>
  <c r="D536" i="4" s="1"/>
  <c r="E535" i="4"/>
  <c r="E376" i="2"/>
  <c r="D535" i="4" s="1"/>
  <c r="E374" i="2"/>
  <c r="D534" i="4" s="1"/>
  <c r="E532" i="4"/>
  <c r="E371" i="2"/>
  <c r="D532" i="4" s="1"/>
  <c r="E530" i="4"/>
  <c r="E368" i="2"/>
  <c r="D530" i="4" s="1"/>
  <c r="E529" i="4"/>
  <c r="E366" i="2"/>
  <c r="D529" i="4" s="1"/>
  <c r="E528" i="4"/>
  <c r="E364" i="2"/>
  <c r="D528" i="4" s="1"/>
  <c r="E527" i="4"/>
  <c r="E362" i="2"/>
  <c r="D527" i="4" s="1"/>
  <c r="E526" i="4"/>
  <c r="E360" i="2"/>
  <c r="D526" i="4" s="1"/>
  <c r="E525" i="4"/>
  <c r="E358" i="2"/>
  <c r="D525" i="4" s="1"/>
  <c r="E524" i="4"/>
  <c r="E356" i="2"/>
  <c r="D524" i="4" s="1"/>
  <c r="E522" i="4"/>
  <c r="E353" i="2"/>
  <c r="D522" i="4" s="1"/>
  <c r="E521" i="4"/>
  <c r="E351" i="2"/>
  <c r="D521" i="4" s="1"/>
  <c r="E348" i="2"/>
  <c r="D519" i="4" s="1"/>
  <c r="E517" i="4"/>
  <c r="E101" i="1" s="1"/>
  <c r="E345" i="2"/>
  <c r="D517" i="4" s="1"/>
  <c r="E512" i="4"/>
  <c r="E95" i="1" s="1"/>
  <c r="E341" i="2"/>
  <c r="D512" i="4" s="1"/>
  <c r="E502" i="4"/>
  <c r="E338" i="2"/>
  <c r="D502" i="4" s="1"/>
  <c r="E501" i="4"/>
  <c r="E336" i="2"/>
  <c r="D501" i="4" s="1"/>
  <c r="E500" i="4"/>
  <c r="E334" i="2"/>
  <c r="D500" i="4" s="1"/>
  <c r="E332" i="2"/>
  <c r="D499" i="4" s="1"/>
  <c r="E498" i="4"/>
  <c r="E330" i="2"/>
  <c r="D498" i="4" s="1"/>
  <c r="E327" i="2"/>
  <c r="E326" i="2"/>
  <c r="E325" i="2"/>
  <c r="E323" i="2"/>
  <c r="E322" i="2"/>
  <c r="E320" i="2"/>
  <c r="D494" i="4" s="1"/>
  <c r="E316" i="2"/>
  <c r="E315" i="2"/>
  <c r="E314" i="2"/>
  <c r="E312" i="2"/>
  <c r="E311" i="2"/>
  <c r="E310" i="2"/>
  <c r="E308" i="2"/>
  <c r="E307" i="2"/>
  <c r="E306" i="2"/>
  <c r="E153" i="4"/>
  <c r="E33" i="1" s="1"/>
  <c r="E303" i="2"/>
  <c r="D153" i="4" s="1"/>
  <c r="E301" i="2"/>
  <c r="D152" i="4" s="1"/>
  <c r="E299" i="2"/>
  <c r="D151" i="4" s="1"/>
  <c r="E150" i="4"/>
  <c r="E297" i="2"/>
  <c r="D150" i="4" s="1"/>
  <c r="E149" i="4"/>
  <c r="E295" i="2"/>
  <c r="D149" i="4" s="1"/>
  <c r="E293" i="2"/>
  <c r="E291" i="2"/>
  <c r="D147" i="4" s="1"/>
  <c r="E145" i="4"/>
  <c r="E288" i="2"/>
  <c r="D145" i="4" s="1"/>
  <c r="E144" i="4"/>
  <c r="E286" i="2"/>
  <c r="D144" i="4" s="1"/>
  <c r="E143" i="4"/>
  <c r="E284" i="2"/>
  <c r="D143" i="4" s="1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140" i="4"/>
  <c r="E267" i="2"/>
  <c r="D140" i="4" s="1"/>
  <c r="E139" i="4"/>
  <c r="E265" i="2"/>
  <c r="D139" i="4" s="1"/>
  <c r="E138" i="4"/>
  <c r="E263" i="2"/>
  <c r="D138" i="4" s="1"/>
  <c r="E137" i="4"/>
  <c r="E261" i="2"/>
  <c r="D137" i="4" s="1"/>
  <c r="E257" i="2"/>
  <c r="E256" i="2"/>
  <c r="E255" i="2"/>
  <c r="E254" i="2"/>
  <c r="E253" i="2"/>
  <c r="E252" i="2"/>
  <c r="E133" i="4"/>
  <c r="E250" i="2"/>
  <c r="D133" i="4" s="1"/>
  <c r="E132" i="4"/>
  <c r="E248" i="2"/>
  <c r="D132" i="4" s="1"/>
  <c r="E130" i="4"/>
  <c r="E245" i="2"/>
  <c r="D130" i="4" s="1"/>
  <c r="E243" i="2"/>
  <c r="E242" i="2"/>
  <c r="E241" i="2"/>
  <c r="E128" i="4"/>
  <c r="E239" i="2"/>
  <c r="D128" i="4" s="1"/>
  <c r="E127" i="4"/>
  <c r="E237" i="2"/>
  <c r="D127" i="4" s="1"/>
  <c r="E125" i="4"/>
  <c r="E234" i="2"/>
  <c r="D125" i="4" s="1"/>
  <c r="E124" i="4"/>
  <c r="E232" i="2"/>
  <c r="D124" i="4" s="1"/>
  <c r="E122" i="4"/>
  <c r="E229" i="2"/>
  <c r="D122" i="4" s="1"/>
  <c r="E120" i="4"/>
  <c r="E226" i="2"/>
  <c r="D120" i="4" s="1"/>
  <c r="E119" i="4"/>
  <c r="E224" i="2"/>
  <c r="D119" i="4" s="1"/>
  <c r="E118" i="4"/>
  <c r="E222" i="2"/>
  <c r="D118" i="4" s="1"/>
  <c r="E117" i="4"/>
  <c r="E220" i="2"/>
  <c r="D117" i="4" s="1"/>
  <c r="E116" i="4"/>
  <c r="E218" i="2"/>
  <c r="D116" i="4" s="1"/>
  <c r="E115" i="4"/>
  <c r="E216" i="2"/>
  <c r="D115" i="4" s="1"/>
  <c r="E114" i="4"/>
  <c r="E214" i="2"/>
  <c r="D114" i="4" s="1"/>
  <c r="E211" i="2"/>
  <c r="E210" i="2"/>
  <c r="E208" i="2"/>
  <c r="E207" i="2"/>
  <c r="E206" i="2"/>
  <c r="E205" i="2"/>
  <c r="E204" i="2"/>
  <c r="E203" i="2"/>
  <c r="E202" i="2"/>
  <c r="E201" i="2"/>
  <c r="E200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3" i="2"/>
  <c r="E182" i="2"/>
  <c r="E181" i="2"/>
  <c r="E180" i="2"/>
  <c r="E179" i="2"/>
  <c r="E178" i="2"/>
  <c r="E177" i="2"/>
  <c r="E111" i="4"/>
  <c r="E174" i="2"/>
  <c r="D111" i="4" s="1"/>
  <c r="E110" i="4"/>
  <c r="E172" i="2"/>
  <c r="D110" i="4" s="1"/>
  <c r="E109" i="4"/>
  <c r="E170" i="2"/>
  <c r="D109" i="4" s="1"/>
  <c r="E108" i="4"/>
  <c r="E168" i="2"/>
  <c r="D108" i="4" s="1"/>
  <c r="E107" i="4"/>
  <c r="E166" i="2"/>
  <c r="D107" i="4" s="1"/>
  <c r="E105" i="4"/>
  <c r="E163" i="2"/>
  <c r="D105" i="4" s="1"/>
  <c r="E161" i="2"/>
  <c r="D104" i="4" s="1"/>
  <c r="E103" i="4"/>
  <c r="E159" i="2"/>
  <c r="D103" i="4" s="1"/>
  <c r="E157" i="2"/>
  <c r="E156" i="2"/>
  <c r="E155" i="2"/>
  <c r="E154" i="2"/>
  <c r="E101" i="4"/>
  <c r="E152" i="2"/>
  <c r="D101" i="4" s="1"/>
  <c r="E99" i="4"/>
  <c r="E149" i="2"/>
  <c r="D99" i="4" s="1"/>
  <c r="E98" i="4"/>
  <c r="E147" i="2"/>
  <c r="D98" i="4" s="1"/>
  <c r="E97" i="4"/>
  <c r="E145" i="2"/>
  <c r="D97" i="4" s="1"/>
  <c r="E96" i="4"/>
  <c r="E143" i="2"/>
  <c r="D96" i="4" s="1"/>
  <c r="E95" i="4"/>
  <c r="E141" i="2"/>
  <c r="D95" i="4" s="1"/>
  <c r="E94" i="4"/>
  <c r="E139" i="2"/>
  <c r="D94" i="4" s="1"/>
  <c r="E93" i="4"/>
  <c r="E137" i="2"/>
  <c r="D93" i="4" s="1"/>
  <c r="E92" i="4"/>
  <c r="E135" i="2"/>
  <c r="D92" i="4" s="1"/>
  <c r="E91" i="4"/>
  <c r="E133" i="2"/>
  <c r="D91" i="4" s="1"/>
  <c r="E90" i="4"/>
  <c r="E131" i="2"/>
  <c r="D90" i="4" s="1"/>
  <c r="E89" i="4"/>
  <c r="E129" i="2"/>
  <c r="D89" i="4" s="1"/>
  <c r="E88" i="4"/>
  <c r="E127" i="2"/>
  <c r="D88" i="4" s="1"/>
  <c r="E87" i="4"/>
  <c r="E125" i="2"/>
  <c r="D87" i="4" s="1"/>
  <c r="E86" i="4"/>
  <c r="E123" i="2"/>
  <c r="D86" i="4" s="1"/>
  <c r="E84" i="4"/>
  <c r="E120" i="2"/>
  <c r="D84" i="4" s="1"/>
  <c r="E118" i="2"/>
  <c r="E117" i="2"/>
  <c r="E82" i="4"/>
  <c r="E115" i="2"/>
  <c r="D82" i="4" s="1"/>
  <c r="E81" i="4"/>
  <c r="E113" i="2"/>
  <c r="D81" i="4" s="1"/>
  <c r="E80" i="4"/>
  <c r="E111" i="2"/>
  <c r="D80" i="4" s="1"/>
  <c r="E79" i="4"/>
  <c r="E109" i="2"/>
  <c r="D79" i="4" s="1"/>
  <c r="E78" i="4"/>
  <c r="E107" i="2"/>
  <c r="D78" i="4" s="1"/>
  <c r="E77" i="4"/>
  <c r="E105" i="2"/>
  <c r="D77" i="4" s="1"/>
  <c r="E76" i="4"/>
  <c r="E103" i="2"/>
  <c r="D76" i="4" s="1"/>
  <c r="E75" i="4"/>
  <c r="E101" i="2"/>
  <c r="D75" i="4" s="1"/>
  <c r="E74" i="4"/>
  <c r="E99" i="2"/>
  <c r="D74" i="4" s="1"/>
  <c r="E73" i="4"/>
  <c r="E97" i="2"/>
  <c r="D73" i="4" s="1"/>
  <c r="E72" i="4"/>
  <c r="E95" i="2"/>
  <c r="D72" i="4" s="1"/>
  <c r="E71" i="4"/>
  <c r="E93" i="2"/>
  <c r="D71" i="4" s="1"/>
  <c r="E91" i="2"/>
  <c r="E90" i="2"/>
  <c r="E88" i="2"/>
  <c r="E87" i="2"/>
  <c r="E65" i="4"/>
  <c r="E82" i="2"/>
  <c r="D65" i="4" s="1"/>
  <c r="E64" i="4"/>
  <c r="E80" i="2"/>
  <c r="D64" i="4" s="1"/>
  <c r="E63" i="4"/>
  <c r="E78" i="2"/>
  <c r="D63" i="4" s="1"/>
  <c r="E62" i="4"/>
  <c r="E76" i="2"/>
  <c r="D62" i="4" s="1"/>
  <c r="E61" i="4"/>
  <c r="E74" i="2"/>
  <c r="C11" i="32" s="1"/>
  <c r="E59" i="4"/>
  <c r="E71" i="2"/>
  <c r="D59" i="4" s="1"/>
  <c r="E58" i="4"/>
  <c r="E69" i="2"/>
  <c r="E56" i="4"/>
  <c r="E23" i="1" s="1"/>
  <c r="E66" i="2"/>
  <c r="D56" i="4" s="1"/>
  <c r="E55" i="4"/>
  <c r="E22" i="1" s="1"/>
  <c r="E64" i="2"/>
  <c r="D55" i="4" s="1"/>
  <c r="E62" i="2"/>
  <c r="E61" i="2"/>
  <c r="E53" i="4"/>
  <c r="E20" i="1" s="1"/>
  <c r="E59" i="2"/>
  <c r="D53" i="4" s="1"/>
  <c r="E52" i="4"/>
  <c r="E19" i="1" s="1"/>
  <c r="E57" i="2"/>
  <c r="D52" i="4" s="1"/>
  <c r="E50" i="4"/>
  <c r="E54" i="2"/>
  <c r="D50" i="4" s="1"/>
  <c r="E49" i="4"/>
  <c r="E52" i="2"/>
  <c r="D49" i="4" s="1"/>
  <c r="E48" i="4"/>
  <c r="E50" i="2"/>
  <c r="D48" i="4" s="1"/>
  <c r="E48" i="2"/>
  <c r="E47" i="2"/>
  <c r="E46" i="2"/>
  <c r="E45" i="2"/>
  <c r="E44" i="2"/>
  <c r="E43" i="2"/>
  <c r="E46" i="4"/>
  <c r="E41" i="2"/>
  <c r="D46" i="4" s="1"/>
  <c r="E44" i="4"/>
  <c r="E38" i="2"/>
  <c r="D44" i="4" s="1"/>
  <c r="E43" i="4"/>
  <c r="E36" i="2"/>
  <c r="D43" i="4" s="1"/>
  <c r="E41" i="4"/>
  <c r="E15" i="1" s="1"/>
  <c r="E33" i="2"/>
  <c r="D41" i="4" s="1"/>
  <c r="E40" i="4"/>
  <c r="E14" i="1" s="1"/>
  <c r="E31" i="2"/>
  <c r="D40" i="4" s="1"/>
  <c r="E39" i="4"/>
  <c r="E13" i="1" s="1"/>
  <c r="E29" i="2"/>
  <c r="D39" i="4" s="1"/>
  <c r="E27" i="2"/>
  <c r="E26" i="2"/>
  <c r="E25" i="2"/>
  <c r="E24" i="2"/>
  <c r="E23" i="2"/>
  <c r="E22" i="2"/>
  <c r="E35" i="4"/>
  <c r="E18" i="2"/>
  <c r="D35" i="4" s="1"/>
  <c r="E34" i="4"/>
  <c r="E16" i="2"/>
  <c r="D34" i="4" s="1"/>
  <c r="E33" i="4"/>
  <c r="E14" i="2"/>
  <c r="D33" i="4" s="1"/>
  <c r="E12" i="2"/>
  <c r="D32" i="4" s="1"/>
  <c r="E30" i="4"/>
  <c r="E9" i="2"/>
  <c r="D30" i="4" s="1"/>
  <c r="E29" i="4"/>
  <c r="E7" i="2"/>
  <c r="D29" i="4" s="1"/>
  <c r="G389" i="2"/>
  <c r="F389" i="2"/>
  <c r="G1243" i="3"/>
  <c r="G390" i="2" s="1"/>
  <c r="F1243" i="3"/>
  <c r="E585" i="4"/>
  <c r="E117" i="1" s="1"/>
  <c r="E584" i="4"/>
  <c r="E581" i="4"/>
  <c r="E115" i="1" s="1"/>
  <c r="E578" i="4"/>
  <c r="E112" i="1" s="1"/>
  <c r="E566" i="4"/>
  <c r="E563" i="4"/>
  <c r="E554" i="4"/>
  <c r="E552" i="4"/>
  <c r="E543" i="4"/>
  <c r="E104" i="1" s="1"/>
  <c r="E539" i="4"/>
  <c r="E538" i="4"/>
  <c r="E534" i="4"/>
  <c r="E519" i="4"/>
  <c r="E499" i="4"/>
  <c r="E494" i="4"/>
  <c r="E479" i="4"/>
  <c r="E468" i="4"/>
  <c r="E460" i="4"/>
  <c r="E455" i="4"/>
  <c r="E152" i="4"/>
  <c r="E151" i="4"/>
  <c r="E148" i="4"/>
  <c r="E147" i="4"/>
  <c r="E104" i="4"/>
  <c r="C10" i="32" l="1"/>
  <c r="C104" i="32"/>
  <c r="D148" i="4"/>
  <c r="D146" i="4" s="1"/>
  <c r="F390" i="2"/>
  <c r="F391" i="2" s="1"/>
  <c r="D167" i="4"/>
  <c r="D172" i="4"/>
  <c r="D187" i="4"/>
  <c r="D165" i="4"/>
  <c r="D168" i="4"/>
  <c r="D171" i="4"/>
  <c r="D173" i="4"/>
  <c r="D186" i="4"/>
  <c r="D188" i="4"/>
  <c r="D190" i="4"/>
  <c r="D169" i="4"/>
  <c r="D166" i="4" s="1"/>
  <c r="D189" i="4"/>
  <c r="C7" i="32"/>
  <c r="C22" i="32"/>
  <c r="C19" i="32"/>
  <c r="C20" i="32" s="1"/>
  <c r="C21" i="32" s="1"/>
  <c r="C13" i="32"/>
  <c r="C14" i="32" s="1"/>
  <c r="D585" i="4"/>
  <c r="D117" i="1" s="1"/>
  <c r="F117" i="1" s="1"/>
  <c r="C15" i="32"/>
  <c r="C16" i="32" s="1"/>
  <c r="C8" i="32"/>
  <c r="C6" i="32"/>
  <c r="D61" i="4"/>
  <c r="D60" i="4" s="1"/>
  <c r="D58" i="4"/>
  <c r="D57" i="4" s="1"/>
  <c r="D440" i="4"/>
  <c r="D439" i="4" s="1"/>
  <c r="D69" i="4"/>
  <c r="D417" i="4"/>
  <c r="E417" i="4"/>
  <c r="E156" i="4"/>
  <c r="D156" i="4"/>
  <c r="E70" i="4"/>
  <c r="E496" i="4"/>
  <c r="D54" i="4"/>
  <c r="D21" i="1" s="1"/>
  <c r="D155" i="4"/>
  <c r="D129" i="4"/>
  <c r="D126" i="4" s="1"/>
  <c r="D495" i="4"/>
  <c r="D22" i="1"/>
  <c r="F22" i="1" s="1"/>
  <c r="D104" i="1"/>
  <c r="F104" i="1" s="1"/>
  <c r="D13" i="1"/>
  <c r="F13" i="1" s="1"/>
  <c r="D96" i="1"/>
  <c r="F96" i="1" s="1"/>
  <c r="D115" i="1"/>
  <c r="F115" i="1" s="1"/>
  <c r="D20" i="1"/>
  <c r="F20" i="1" s="1"/>
  <c r="D14" i="1"/>
  <c r="F14" i="1" s="1"/>
  <c r="D95" i="1"/>
  <c r="F95" i="1" s="1"/>
  <c r="D58" i="1"/>
  <c r="F58" i="1" s="1"/>
  <c r="D23" i="1"/>
  <c r="F23" i="1" s="1"/>
  <c r="D113" i="1"/>
  <c r="F113" i="1" s="1"/>
  <c r="G113" i="1" s="1"/>
  <c r="D33" i="1"/>
  <c r="F33" i="1" s="1"/>
  <c r="D15" i="1"/>
  <c r="F15" i="1" s="1"/>
  <c r="D101" i="1"/>
  <c r="F101" i="1" s="1"/>
  <c r="D19" i="1"/>
  <c r="F19" i="1" s="1"/>
  <c r="D114" i="1"/>
  <c r="F114" i="1" s="1"/>
  <c r="D112" i="1"/>
  <c r="F112" i="1" s="1"/>
  <c r="G112" i="1" s="1"/>
  <c r="D70" i="4"/>
  <c r="E134" i="4"/>
  <c r="E131" i="4" s="1"/>
  <c r="D134" i="4"/>
  <c r="D131" i="4" s="1"/>
  <c r="D157" i="4"/>
  <c r="E305" i="4"/>
  <c r="E349" i="4"/>
  <c r="E193" i="4"/>
  <c r="D197" i="4"/>
  <c r="D506" i="4"/>
  <c r="E164" i="4"/>
  <c r="D193" i="4"/>
  <c r="E178" i="4"/>
  <c r="E182" i="4"/>
  <c r="E265" i="4"/>
  <c r="E264" i="4" s="1"/>
  <c r="E50" i="1" s="1"/>
  <c r="D412" i="4"/>
  <c r="D413" i="4"/>
  <c r="E412" i="4"/>
  <c r="E413" i="4"/>
  <c r="E163" i="4"/>
  <c r="D164" i="4"/>
  <c r="D179" i="4"/>
  <c r="D194" i="4"/>
  <c r="E341" i="4"/>
  <c r="D349" i="4"/>
  <c r="E175" i="4"/>
  <c r="D214" i="4"/>
  <c r="D265" i="4"/>
  <c r="E377" i="4"/>
  <c r="D383" i="4"/>
  <c r="D178" i="4"/>
  <c r="D182" i="4"/>
  <c r="D398" i="4"/>
  <c r="E398" i="4"/>
  <c r="E433" i="4"/>
  <c r="D163" i="4"/>
  <c r="E176" i="4"/>
  <c r="D177" i="4"/>
  <c r="D192" i="4"/>
  <c r="D249" i="4"/>
  <c r="D341" i="4"/>
  <c r="D374" i="4"/>
  <c r="D247" i="4"/>
  <c r="E181" i="4"/>
  <c r="E195" i="4"/>
  <c r="D290" i="4"/>
  <c r="E286" i="4"/>
  <c r="E214" i="4"/>
  <c r="D295" i="4"/>
  <c r="D470" i="4"/>
  <c r="E470" i="4"/>
  <c r="E464" i="4" s="1"/>
  <c r="E81" i="1" s="1"/>
  <c r="D478" i="4"/>
  <c r="E177" i="4"/>
  <c r="E192" i="4"/>
  <c r="E242" i="4"/>
  <c r="E238" i="4" s="1"/>
  <c r="E46" i="1" s="1"/>
  <c r="E472" i="4"/>
  <c r="E82" i="1" s="1"/>
  <c r="E325" i="4"/>
  <c r="E321" i="4" s="1"/>
  <c r="E57" i="1" s="1"/>
  <c r="E445" i="4"/>
  <c r="D433" i="4"/>
  <c r="D442" i="4"/>
  <c r="D175" i="4"/>
  <c r="D176" i="4"/>
  <c r="D184" i="4"/>
  <c r="E295" i="4"/>
  <c r="E374" i="4"/>
  <c r="D382" i="4"/>
  <c r="D432" i="4"/>
  <c r="E422" i="4"/>
  <c r="E184" i="4"/>
  <c r="D196" i="4"/>
  <c r="E210" i="4"/>
  <c r="E209" i="4" s="1"/>
  <c r="E43" i="1" s="1"/>
  <c r="D236" i="4"/>
  <c r="D237" i="4"/>
  <c r="E370" i="4"/>
  <c r="E380" i="4"/>
  <c r="E378" i="4" s="1"/>
  <c r="E382" i="4"/>
  <c r="E383" i="4"/>
  <c r="D444" i="4"/>
  <c r="E196" i="4"/>
  <c r="E197" i="4"/>
  <c r="E236" i="4"/>
  <c r="E237" i="4"/>
  <c r="D325" i="4"/>
  <c r="D421" i="4"/>
  <c r="D180" i="4"/>
  <c r="D181" i="4"/>
  <c r="D195" i="4"/>
  <c r="D380" i="4"/>
  <c r="E179" i="4"/>
  <c r="E180" i="4"/>
  <c r="E194" i="4"/>
  <c r="E290" i="4"/>
  <c r="E338" i="4"/>
  <c r="E355" i="4"/>
  <c r="D185" i="4"/>
  <c r="D210" i="4"/>
  <c r="D242" i="4"/>
  <c r="D281" i="4"/>
  <c r="E313" i="4"/>
  <c r="D338" i="4"/>
  <c r="D370" i="4"/>
  <c r="E185" i="4"/>
  <c r="E249" i="4"/>
  <c r="D288" i="4"/>
  <c r="E296" i="4"/>
  <c r="D305" i="4"/>
  <c r="D312" i="4"/>
  <c r="D313" i="4"/>
  <c r="D377" i="4"/>
  <c r="E247" i="4"/>
  <c r="E243" i="4" s="1"/>
  <c r="E47" i="1" s="1"/>
  <c r="E288" i="4"/>
  <c r="D296" i="4"/>
  <c r="E312" i="4"/>
  <c r="E359" i="4"/>
  <c r="D408" i="4"/>
  <c r="D206" i="4"/>
  <c r="E343" i="4"/>
  <c r="D359" i="4"/>
  <c r="E281" i="4"/>
  <c r="E277" i="4" s="1"/>
  <c r="E52" i="1" s="1"/>
  <c r="E289" i="4"/>
  <c r="E297" i="4"/>
  <c r="D205" i="4"/>
  <c r="D198" i="4"/>
  <c r="D289" i="4"/>
  <c r="E198" i="4"/>
  <c r="E204" i="4"/>
  <c r="D203" i="4"/>
  <c r="D220" i="4"/>
  <c r="D204" i="4"/>
  <c r="E206" i="4"/>
  <c r="E111" i="1"/>
  <c r="E203" i="4"/>
  <c r="E205" i="4"/>
  <c r="E220" i="4"/>
  <c r="D286" i="4"/>
  <c r="D297" i="4"/>
  <c r="E298" i="4"/>
  <c r="D298" i="4"/>
  <c r="E304" i="4"/>
  <c r="D304" i="4"/>
  <c r="E314" i="4"/>
  <c r="D314" i="4"/>
  <c r="D316" i="4"/>
  <c r="E316" i="4"/>
  <c r="D343" i="4"/>
  <c r="D350" i="4"/>
  <c r="E350" i="4"/>
  <c r="D355" i="4"/>
  <c r="E390" i="4"/>
  <c r="D390" i="4"/>
  <c r="E391" i="4"/>
  <c r="D391" i="4"/>
  <c r="D394" i="4"/>
  <c r="E394" i="4"/>
  <c r="D395" i="4"/>
  <c r="E395" i="4"/>
  <c r="E399" i="4"/>
  <c r="D399" i="4"/>
  <c r="D403" i="4"/>
  <c r="E403" i="4"/>
  <c r="E404" i="4"/>
  <c r="D404" i="4"/>
  <c r="E407" i="4"/>
  <c r="D407" i="4"/>
  <c r="E408" i="4"/>
  <c r="E416" i="4"/>
  <c r="D416" i="4"/>
  <c r="E421" i="4"/>
  <c r="D422" i="4"/>
  <c r="E425" i="4"/>
  <c r="D425" i="4"/>
  <c r="E426" i="4"/>
  <c r="D426" i="4"/>
  <c r="E429" i="4"/>
  <c r="D429" i="4"/>
  <c r="E432" i="4"/>
  <c r="E437" i="4"/>
  <c r="E73" i="1" s="1"/>
  <c r="D437" i="4"/>
  <c r="E442" i="4"/>
  <c r="E75" i="1" s="1"/>
  <c r="E444" i="4"/>
  <c r="D445" i="4"/>
  <c r="D472" i="4"/>
  <c r="E478" i="4"/>
  <c r="E473" i="4" s="1"/>
  <c r="E506" i="4"/>
  <c r="E503" i="4" s="1"/>
  <c r="E97" i="1"/>
  <c r="E1243" i="3"/>
  <c r="E390" i="2" s="1"/>
  <c r="G391" i="2"/>
  <c r="E112" i="4"/>
  <c r="E102" i="4"/>
  <c r="E100" i="4" s="1"/>
  <c r="E85" i="4" s="1"/>
  <c r="D83" i="4"/>
  <c r="E69" i="4"/>
  <c r="E32" i="4"/>
  <c r="E31" i="4" s="1"/>
  <c r="E28" i="4" s="1"/>
  <c r="E27" i="4" s="1"/>
  <c r="E10" i="1" s="1"/>
  <c r="E155" i="4"/>
  <c r="D141" i="4"/>
  <c r="E141" i="4"/>
  <c r="E157" i="4"/>
  <c r="E54" i="4"/>
  <c r="E21" i="1" s="1"/>
  <c r="E18" i="1" s="1"/>
  <c r="D496" i="4"/>
  <c r="D47" i="4"/>
  <c r="E83" i="4"/>
  <c r="E129" i="4"/>
  <c r="E126" i="4" s="1"/>
  <c r="E495" i="4"/>
  <c r="E38" i="4"/>
  <c r="E12" i="1" s="1"/>
  <c r="D102" i="4"/>
  <c r="E389" i="2"/>
  <c r="D38" i="4"/>
  <c r="E47" i="4"/>
  <c r="E45" i="4" s="1"/>
  <c r="E17" i="1" s="1"/>
  <c r="D112" i="4"/>
  <c r="E439" i="4"/>
  <c r="E74" i="1" s="1"/>
  <c r="E514" i="4"/>
  <c r="D142" i="4"/>
  <c r="E582" i="4"/>
  <c r="E116" i="1" s="1"/>
  <c r="E523" i="4"/>
  <c r="E520" i="4" s="1"/>
  <c r="D514" i="4"/>
  <c r="D42" i="4"/>
  <c r="E136" i="4"/>
  <c r="E344" i="4"/>
  <c r="E497" i="4"/>
  <c r="E553" i="4"/>
  <c r="E551" i="4" s="1"/>
  <c r="D507" i="4"/>
  <c r="D456" i="4"/>
  <c r="D497" i="4"/>
  <c r="E548" i="4"/>
  <c r="E456" i="4"/>
  <c r="E79" i="1" s="1"/>
  <c r="D136" i="4"/>
  <c r="D365" i="4"/>
  <c r="E507" i="4"/>
  <c r="E577" i="4"/>
  <c r="D344" i="4"/>
  <c r="D480" i="4"/>
  <c r="D548" i="4"/>
  <c r="E42" i="4"/>
  <c r="E16" i="1" s="1"/>
  <c r="E480" i="4"/>
  <c r="E84" i="1" s="1"/>
  <c r="D271" i="4"/>
  <c r="D317" i="4"/>
  <c r="E258" i="4"/>
  <c r="E49" i="1" s="1"/>
  <c r="E271" i="4"/>
  <c r="E51" i="1" s="1"/>
  <c r="D113" i="4"/>
  <c r="D361" i="4"/>
  <c r="D523" i="4"/>
  <c r="D533" i="4"/>
  <c r="D565" i="4"/>
  <c r="E57" i="4"/>
  <c r="E24" i="1" s="1"/>
  <c r="E113" i="4"/>
  <c r="E28" i="1" s="1"/>
  <c r="E123" i="4"/>
  <c r="E142" i="4"/>
  <c r="E31" i="1" s="1"/>
  <c r="E166" i="4"/>
  <c r="E317" i="4"/>
  <c r="D252" i="4"/>
  <c r="D553" i="4"/>
  <c r="E447" i="4"/>
  <c r="D123" i="4"/>
  <c r="E60" i="4"/>
  <c r="E25" i="1" s="1"/>
  <c r="E283" i="4"/>
  <c r="D283" i="4"/>
  <c r="D577" i="4"/>
  <c r="E252" i="4"/>
  <c r="D447" i="4"/>
  <c r="E170" i="4"/>
  <c r="E361" i="4"/>
  <c r="D31" i="4"/>
  <c r="D106" i="4"/>
  <c r="D334" i="4"/>
  <c r="D582" i="4"/>
  <c r="E106" i="4"/>
  <c r="E146" i="4"/>
  <c r="E32" i="1" s="1"/>
  <c r="E221" i="4"/>
  <c r="E334" i="4"/>
  <c r="E365" i="4"/>
  <c r="E62" i="1" s="1"/>
  <c r="E533" i="4"/>
  <c r="E531" i="4" s="1"/>
  <c r="E565" i="4"/>
  <c r="E562" i="4" s="1"/>
  <c r="D221" i="4"/>
  <c r="D258" i="4"/>
  <c r="D170" i="4" l="1"/>
  <c r="C23" i="32"/>
  <c r="C24" i="32" s="1"/>
  <c r="C12" i="32"/>
  <c r="C17" i="32"/>
  <c r="C9" i="32"/>
  <c r="D51" i="4"/>
  <c r="D154" i="4"/>
  <c r="D34" i="1" s="1"/>
  <c r="E493" i="4"/>
  <c r="E90" i="1" s="1"/>
  <c r="F21" i="1"/>
  <c r="D18" i="1"/>
  <c r="F18" i="1" s="1"/>
  <c r="D97" i="1"/>
  <c r="D100" i="4"/>
  <c r="D111" i="1"/>
  <c r="F111" i="1" s="1"/>
  <c r="G111" i="1" s="1"/>
  <c r="D78" i="1"/>
  <c r="D493" i="4"/>
  <c r="D49" i="1"/>
  <c r="F49" i="1" s="1"/>
  <c r="D28" i="1"/>
  <c r="F28" i="1" s="1"/>
  <c r="D31" i="1"/>
  <c r="F31" i="1" s="1"/>
  <c r="D24" i="1"/>
  <c r="F24" i="1" s="1"/>
  <c r="D73" i="1"/>
  <c r="F73" i="1" s="1"/>
  <c r="G73" i="1" s="1"/>
  <c r="D75" i="1"/>
  <c r="F75" i="1" s="1"/>
  <c r="G75" i="1" s="1"/>
  <c r="D473" i="4"/>
  <c r="D264" i="4"/>
  <c r="D79" i="1"/>
  <c r="F79" i="1" s="1"/>
  <c r="G79" i="1" s="1"/>
  <c r="D531" i="4"/>
  <c r="D25" i="1"/>
  <c r="F25" i="1" s="1"/>
  <c r="G25" i="1" s="1"/>
  <c r="D520" i="4"/>
  <c r="D28" i="4"/>
  <c r="D12" i="1"/>
  <c r="F12" i="1" s="1"/>
  <c r="G12" i="1" s="1"/>
  <c r="D116" i="1"/>
  <c r="F116" i="1" s="1"/>
  <c r="G116" i="1" s="1"/>
  <c r="D84" i="1"/>
  <c r="F84" i="1" s="1"/>
  <c r="G84" i="1" s="1"/>
  <c r="D321" i="4"/>
  <c r="D243" i="4"/>
  <c r="D277" i="4"/>
  <c r="D464" i="4"/>
  <c r="D503" i="4"/>
  <c r="D16" i="1"/>
  <c r="F16" i="1" s="1"/>
  <c r="D238" i="4"/>
  <c r="D562" i="4"/>
  <c r="D51" i="1"/>
  <c r="F51" i="1" s="1"/>
  <c r="D82" i="1"/>
  <c r="F82" i="1" s="1"/>
  <c r="D209" i="4"/>
  <c r="D378" i="4"/>
  <c r="D551" i="4"/>
  <c r="D248" i="4"/>
  <c r="D62" i="1"/>
  <c r="F62" i="1" s="1"/>
  <c r="G62" i="1" s="1"/>
  <c r="D74" i="1"/>
  <c r="F74" i="1" s="1"/>
  <c r="D32" i="1"/>
  <c r="F32" i="1" s="1"/>
  <c r="G32" i="1" s="1"/>
  <c r="D45" i="4"/>
  <c r="D68" i="4"/>
  <c r="E299" i="4"/>
  <c r="E55" i="1" s="1"/>
  <c r="E135" i="4"/>
  <c r="E121" i="4" s="1"/>
  <c r="E30" i="1" s="1"/>
  <c r="E347" i="4"/>
  <c r="E331" i="4" s="1"/>
  <c r="E60" i="1" s="1"/>
  <c r="E68" i="4"/>
  <c r="E67" i="4" s="1"/>
  <c r="E162" i="4"/>
  <c r="E37" i="4"/>
  <c r="E36" i="4" s="1"/>
  <c r="D174" i="4"/>
  <c r="E443" i="4"/>
  <c r="E76" i="1" s="1"/>
  <c r="D381" i="4"/>
  <c r="E174" i="4"/>
  <c r="D347" i="4"/>
  <c r="D282" i="4"/>
  <c r="E431" i="4"/>
  <c r="E428" i="4" s="1"/>
  <c r="E71" i="1" s="1"/>
  <c r="D368" i="4"/>
  <c r="D162" i="4"/>
  <c r="D299" i="4"/>
  <c r="D420" i="4"/>
  <c r="E381" i="4"/>
  <c r="E376" i="4" s="1"/>
  <c r="E64" i="1" s="1"/>
  <c r="E191" i="4"/>
  <c r="E40" i="1" s="1"/>
  <c r="E424" i="4"/>
  <c r="D406" i="4"/>
  <c r="D411" i="4"/>
  <c r="E397" i="4"/>
  <c r="E68" i="1" s="1"/>
  <c r="D213" i="4"/>
  <c r="D232" i="4"/>
  <c r="E415" i="4"/>
  <c r="D354" i="4"/>
  <c r="D402" i="4"/>
  <c r="D393" i="4"/>
  <c r="D191" i="4"/>
  <c r="E354" i="4"/>
  <c r="E351" i="4" s="1"/>
  <c r="D443" i="4"/>
  <c r="D291" i="4"/>
  <c r="E420" i="4"/>
  <c r="E406" i="4"/>
  <c r="E310" i="4"/>
  <c r="E307" i="4" s="1"/>
  <c r="E56" i="1" s="1"/>
  <c r="E368" i="4"/>
  <c r="E63" i="1" s="1"/>
  <c r="E213" i="4"/>
  <c r="E44" i="1" s="1"/>
  <c r="E183" i="4"/>
  <c r="D183" i="4"/>
  <c r="D431" i="4"/>
  <c r="E282" i="4"/>
  <c r="E53" i="1" s="1"/>
  <c r="E232" i="4"/>
  <c r="E45" i="1" s="1"/>
  <c r="E393" i="4"/>
  <c r="E67" i="1" s="1"/>
  <c r="D310" i="4"/>
  <c r="E291" i="4"/>
  <c r="E54" i="1" s="1"/>
  <c r="E402" i="4"/>
  <c r="D389" i="4"/>
  <c r="E118" i="1"/>
  <c r="D415" i="4"/>
  <c r="E411" i="4"/>
  <c r="E248" i="4"/>
  <c r="E48" i="1" s="1"/>
  <c r="E202" i="4"/>
  <c r="E201" i="4" s="1"/>
  <c r="E42" i="1" s="1"/>
  <c r="E389" i="4"/>
  <c r="E66" i="1" s="1"/>
  <c r="D202" i="4"/>
  <c r="E72" i="1"/>
  <c r="D397" i="4"/>
  <c r="E438" i="4"/>
  <c r="E436" i="4" s="1"/>
  <c r="E83" i="1"/>
  <c r="E80" i="1" s="1"/>
  <c r="E463" i="4"/>
  <c r="D438" i="4"/>
  <c r="E391" i="2"/>
  <c r="F47" i="31" s="1"/>
  <c r="D424" i="4"/>
  <c r="E91" i="1"/>
  <c r="E446" i="4"/>
  <c r="E78" i="1"/>
  <c r="E29" i="1"/>
  <c r="E11" i="1"/>
  <c r="E9" i="1" s="1"/>
  <c r="D37" i="4"/>
  <c r="D135" i="4"/>
  <c r="E154" i="4"/>
  <c r="E34" i="1" s="1"/>
  <c r="E51" i="4"/>
  <c r="D29" i="1"/>
  <c r="E547" i="4"/>
  <c r="E544" i="4" s="1"/>
  <c r="E105" i="1" s="1"/>
  <c r="E586" i="4"/>
  <c r="D446" i="4"/>
  <c r="E518" i="4"/>
  <c r="D586" i="4"/>
  <c r="F97" i="1" l="1"/>
  <c r="E510" i="4"/>
  <c r="F34" i="1"/>
  <c r="G34" i="1" s="1"/>
  <c r="E77" i="1"/>
  <c r="F78" i="1"/>
  <c r="G78" i="1" s="1"/>
  <c r="F29" i="1"/>
  <c r="G29" i="1" s="1"/>
  <c r="D118" i="1"/>
  <c r="D85" i="4"/>
  <c r="D463" i="4"/>
  <c r="D91" i="1"/>
  <c r="F91" i="1" s="1"/>
  <c r="D547" i="4"/>
  <c r="D77" i="1"/>
  <c r="D72" i="1"/>
  <c r="F72" i="1" s="1"/>
  <c r="G72" i="1" s="1"/>
  <c r="D45" i="1"/>
  <c r="F45" i="1" s="1"/>
  <c r="D57" i="1"/>
  <c r="F57" i="1" s="1"/>
  <c r="G57" i="1" s="1"/>
  <c r="D50" i="1"/>
  <c r="F50" i="1" s="1"/>
  <c r="D518" i="4"/>
  <c r="D66" i="1"/>
  <c r="F66" i="1" s="1"/>
  <c r="G66" i="1" s="1"/>
  <c r="D44" i="1"/>
  <c r="F44" i="1" s="1"/>
  <c r="G44" i="1" s="1"/>
  <c r="D17" i="1"/>
  <c r="D436" i="4"/>
  <c r="D27" i="4"/>
  <c r="D83" i="1"/>
  <c r="F83" i="1" s="1"/>
  <c r="G83" i="1" s="1"/>
  <c r="D428" i="4"/>
  <c r="D54" i="1"/>
  <c r="F54" i="1" s="1"/>
  <c r="G54" i="1" s="1"/>
  <c r="D376" i="4"/>
  <c r="D52" i="1"/>
  <c r="F52" i="1" s="1"/>
  <c r="D201" i="4"/>
  <c r="D76" i="1"/>
  <c r="F76" i="1" s="1"/>
  <c r="D55" i="1"/>
  <c r="F55" i="1" s="1"/>
  <c r="G55" i="1" s="1"/>
  <c r="D40" i="1"/>
  <c r="F40" i="1" s="1"/>
  <c r="G40" i="1" s="1"/>
  <c r="D63" i="1"/>
  <c r="F63" i="1" s="1"/>
  <c r="G63" i="1" s="1"/>
  <c r="D48" i="1"/>
  <c r="F48" i="1" s="1"/>
  <c r="D47" i="1"/>
  <c r="F47" i="1" s="1"/>
  <c r="D90" i="1"/>
  <c r="F90" i="1" s="1"/>
  <c r="D36" i="4"/>
  <c r="D351" i="4"/>
  <c r="D331" i="4"/>
  <c r="D46" i="1"/>
  <c r="F46" i="1" s="1"/>
  <c r="D81" i="1"/>
  <c r="F81" i="1" s="1"/>
  <c r="G81" i="1" s="1"/>
  <c r="D307" i="4"/>
  <c r="D67" i="1"/>
  <c r="F67" i="1" s="1"/>
  <c r="G67" i="1" s="1"/>
  <c r="D121" i="4"/>
  <c r="D53" i="1"/>
  <c r="F53" i="1" s="1"/>
  <c r="D43" i="1"/>
  <c r="F43" i="1" s="1"/>
  <c r="D510" i="4"/>
  <c r="D68" i="1"/>
  <c r="F68" i="1" s="1"/>
  <c r="G68" i="1" s="1"/>
  <c r="E26" i="4"/>
  <c r="E161" i="4"/>
  <c r="E160" i="4" s="1"/>
  <c r="D161" i="4"/>
  <c r="D69" i="1"/>
  <c r="E410" i="4"/>
  <c r="D419" i="4"/>
  <c r="E419" i="4"/>
  <c r="D410" i="4"/>
  <c r="D401" i="4"/>
  <c r="E70" i="1"/>
  <c r="E69" i="1"/>
  <c r="D388" i="4"/>
  <c r="E401" i="4"/>
  <c r="D70" i="1"/>
  <c r="E388" i="4"/>
  <c r="E387" i="4" s="1"/>
  <c r="E200" i="4"/>
  <c r="E41" i="1"/>
  <c r="E542" i="4"/>
  <c r="E92" i="1"/>
  <c r="E330" i="4"/>
  <c r="E61" i="1"/>
  <c r="E516" i="4"/>
  <c r="E102" i="1"/>
  <c r="E100" i="1" s="1"/>
  <c r="E66" i="4"/>
  <c r="E27" i="1"/>
  <c r="E26" i="1" s="1"/>
  <c r="E35" i="1" s="1"/>
  <c r="F118" i="1" l="1"/>
  <c r="G118" i="1" s="1"/>
  <c r="F77" i="1"/>
  <c r="G77" i="1" s="1"/>
  <c r="F69" i="1"/>
  <c r="G69" i="1" s="1"/>
  <c r="F70" i="1"/>
  <c r="G70" i="1" s="1"/>
  <c r="E103" i="1"/>
  <c r="E106" i="1" s="1"/>
  <c r="E59" i="1"/>
  <c r="D11" i="1"/>
  <c r="F11" i="1" s="1"/>
  <c r="G11" i="1" s="1"/>
  <c r="F17" i="1"/>
  <c r="G17" i="1" s="1"/>
  <c r="E158" i="4"/>
  <c r="D67" i="4"/>
  <c r="D544" i="4"/>
  <c r="D105" i="1" s="1"/>
  <c r="D92" i="1"/>
  <c r="F92" i="1" s="1"/>
  <c r="D516" i="4"/>
  <c r="D56" i="1"/>
  <c r="F56" i="1" s="1"/>
  <c r="G56" i="1" s="1"/>
  <c r="D42" i="1"/>
  <c r="F42" i="1" s="1"/>
  <c r="D60" i="1"/>
  <c r="F60" i="1" s="1"/>
  <c r="G60" i="1" s="1"/>
  <c r="D387" i="4"/>
  <c r="D71" i="1"/>
  <c r="F71" i="1" s="1"/>
  <c r="G71" i="1" s="1"/>
  <c r="D10" i="1"/>
  <c r="D330" i="4"/>
  <c r="D39" i="1"/>
  <c r="D61" i="1"/>
  <c r="F61" i="1" s="1"/>
  <c r="G61" i="1" s="1"/>
  <c r="D200" i="4"/>
  <c r="D80" i="1"/>
  <c r="F80" i="1" s="1"/>
  <c r="G80" i="1" s="1"/>
  <c r="D26" i="4"/>
  <c r="D64" i="1"/>
  <c r="F64" i="1" s="1"/>
  <c r="G64" i="1" s="1"/>
  <c r="D30" i="1"/>
  <c r="F30" i="1" s="1"/>
  <c r="G30" i="1" s="1"/>
  <c r="E39" i="1"/>
  <c r="E38" i="1" s="1"/>
  <c r="D160" i="4"/>
  <c r="E65" i="1"/>
  <c r="D65" i="1"/>
  <c r="E386" i="4"/>
  <c r="E199" i="4"/>
  <c r="E574" i="4"/>
  <c r="F65" i="1" l="1"/>
  <c r="G65" i="1" s="1"/>
  <c r="D38" i="1"/>
  <c r="F38" i="1" s="1"/>
  <c r="G38" i="1" s="1"/>
  <c r="F39" i="1"/>
  <c r="G39" i="1" s="1"/>
  <c r="D9" i="1"/>
  <c r="F9" i="1" s="1"/>
  <c r="G9" i="1" s="1"/>
  <c r="F10" i="1"/>
  <c r="G10" i="1" s="1"/>
  <c r="D100" i="1"/>
  <c r="F100" i="1" s="1"/>
  <c r="G100" i="1" s="1"/>
  <c r="F102" i="1"/>
  <c r="G102" i="1" s="1"/>
  <c r="D542" i="4"/>
  <c r="D27" i="1"/>
  <c r="D66" i="4"/>
  <c r="D41" i="1"/>
  <c r="F41" i="1" s="1"/>
  <c r="G41" i="1" s="1"/>
  <c r="D59" i="1"/>
  <c r="F59" i="1" s="1"/>
  <c r="G59" i="1" s="1"/>
  <c r="D199" i="4"/>
  <c r="D386" i="4"/>
  <c r="E85" i="1"/>
  <c r="E491" i="4"/>
  <c r="E575" i="4" s="1"/>
  <c r="E587" i="4" s="1"/>
  <c r="E87" i="1" l="1"/>
  <c r="E108" i="1" s="1"/>
  <c r="E120" i="1" s="1"/>
  <c r="J122" i="28" s="1"/>
  <c r="J123" i="28" s="1"/>
  <c r="D103" i="1"/>
  <c r="F105" i="1"/>
  <c r="G105" i="1" s="1"/>
  <c r="D26" i="1"/>
  <c r="F27" i="1"/>
  <c r="G27" i="1" s="1"/>
  <c r="D574" i="4"/>
  <c r="D158" i="4"/>
  <c r="D85" i="1"/>
  <c r="D491" i="4"/>
  <c r="J161" i="28" l="1"/>
  <c r="F85" i="1"/>
  <c r="G85" i="1" s="1"/>
  <c r="D106" i="1"/>
  <c r="F103" i="1"/>
  <c r="G103" i="1" s="1"/>
  <c r="D35" i="1"/>
  <c r="F26" i="1"/>
  <c r="G26" i="1" s="1"/>
  <c r="D575" i="4"/>
  <c r="F35" i="1" l="1"/>
  <c r="G35" i="1" s="1"/>
  <c r="F106" i="1"/>
  <c r="G106" i="1" s="1"/>
  <c r="D87" i="1"/>
  <c r="D108" i="1" s="1"/>
  <c r="D587" i="4"/>
  <c r="F300" i="31" s="1"/>
  <c r="F317" i="31" s="1"/>
  <c r="D237" i="29" l="1"/>
  <c r="F450" i="30"/>
  <c r="F108" i="1"/>
  <c r="G108" i="1" s="1"/>
  <c r="D120" i="1"/>
  <c r="F120" i="1" l="1"/>
  <c r="G120" i="1" s="1"/>
  <c r="I122" i="28"/>
  <c r="D214" i="29"/>
  <c r="D340" i="29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C4" i="32" l="1"/>
  <c r="C25" i="32" s="1"/>
  <c r="C56" i="32" s="1"/>
  <c r="K122" i="28"/>
  <c r="L122" i="28" s="1"/>
  <c r="I123" i="28"/>
  <c r="E8" i="17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I161" i="28" l="1"/>
  <c r="K123" i="28"/>
  <c r="C105" i="32" s="1"/>
  <c r="D43" i="17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K161" i="28" l="1"/>
  <c r="L161" i="28" s="1"/>
  <c r="I169" i="28"/>
  <c r="L123" i="28"/>
  <c r="D18" i="17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C106" i="32" l="1"/>
  <c r="C110" i="32" s="1"/>
  <c r="C112" i="32" s="1"/>
  <c r="C115" i="32" s="1"/>
  <c r="I48" i="17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  <c r="J86" i="28" l="1"/>
  <c r="K86" i="28" s="1"/>
  <c r="K40" i="28"/>
  <c r="L40" i="28" s="1"/>
  <c r="L86" i="28" l="1"/>
  <c r="J92" i="28"/>
  <c r="K92" i="28" l="1"/>
  <c r="L92" i="28" s="1"/>
</calcChain>
</file>

<file path=xl/comments1.xml><?xml version="1.0" encoding="utf-8"?>
<comments xmlns="http://schemas.openxmlformats.org/spreadsheetml/2006/main">
  <authors>
    <author>Admin</author>
  </authors>
  <commentList>
    <comment ref="G45" authorId="0" shapeId="0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<sst xmlns="http://schemas.openxmlformats.org/spreadsheetml/2006/main" count="8449" uniqueCount="4498">
  <si>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</si>
  <si>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</si>
  <si>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</si>
  <si>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</si>
  <si>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</si>
  <si>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</si>
  <si>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</si>
  <si>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</si>
  <si>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</si>
  <si>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</si>
  <si>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</si>
  <si>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</si>
  <si>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</si>
  <si>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</si>
  <si>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</si>
  <si>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</si>
  <si>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</si>
  <si>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</si>
  <si>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</si>
  <si>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</si>
  <si>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</si>
  <si>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</si>
  <si>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</si>
  <si>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</si>
  <si>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</si>
  <si>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</si>
  <si>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</si>
  <si>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</si>
  <si>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</si>
  <si>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</si>
  <si>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</si>
  <si>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</si>
  <si>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</si>
  <si>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</si>
  <si>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</si>
  <si>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</si>
  <si>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</si>
  <si>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</si>
  <si>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</si>
  <si>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</si>
  <si>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</si>
  <si>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</si>
  <si>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</si>
  <si>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</si>
  <si>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</si>
  <si>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</si>
  <si>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</si>
  <si>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</si>
  <si>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</si>
  <si>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</si>
  <si>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</si>
  <si>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</si>
  <si>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</si>
  <si>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</si>
  <si>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</si>
  <si>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</si>
  <si>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</si>
  <si>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</si>
  <si>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</si>
  <si>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</si>
  <si>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</si>
  <si>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</si>
  <si>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</si>
  <si>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</si>
  <si>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</si>
  <si>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</si>
  <si>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</si>
  <si>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</si>
  <si>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</si>
  <si>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</si>
  <si>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</si>
  <si>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</si>
  <si>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</si>
  <si>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</si>
  <si>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</si>
  <si>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</si>
  <si>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</si>
  <si>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</si>
  <si>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</si>
  <si>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</si>
  <si>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</si>
  <si>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</si>
  <si>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</si>
  <si>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</si>
  <si>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</si>
  <si>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</si>
  <si>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</si>
  <si>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</si>
  <si>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</si>
  <si>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</si>
  <si>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</si>
  <si>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</si>
  <si>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</si>
  <si>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</si>
  <si>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</si>
  <si>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</si>
  <si>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</si>
  <si>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</si>
  <si>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</si>
  <si>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</si>
  <si>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</si>
  <si>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</si>
  <si>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</si>
  <si>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</si>
  <si>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</si>
  <si>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</si>
  <si>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</si>
  <si>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</si>
  <si>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</si>
  <si>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</si>
  <si>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</si>
  <si>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</si>
  <si>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</si>
  <si>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</si>
  <si>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</si>
  <si>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</si>
  <si>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</si>
  <si>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</si>
  <si>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</si>
  <si>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</si>
  <si>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</si>
  <si>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</si>
  <si>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</si>
  <si>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</si>
  <si>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</si>
  <si>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</si>
  <si>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</si>
  <si>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</si>
  <si>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</si>
  <si>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</si>
  <si>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</si>
  <si>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</si>
  <si>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</si>
  <si>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AA0040</t>
  </si>
  <si>
    <t>Altri contributi da FS regionale vincolati</t>
  </si>
  <si>
    <t>AA0050</t>
  </si>
  <si>
    <t>AA0060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</si>
  <si>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</si>
  <si>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</si>
  <si>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</si>
  <si>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</si>
  <si>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</si>
  <si>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</si>
  <si>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</si>
  <si>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</si>
  <si>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</si>
  <si>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</si>
  <si>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</si>
  <si>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</si>
  <si>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</si>
  <si>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</si>
  <si>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</si>
  <si>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</si>
  <si>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>AA0140</t>
  </si>
  <si>
    <t xml:space="preserve">Contributi da Ministero della Salute  (extra fondo) </t>
  </si>
  <si>
    <t>AA0141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</si>
  <si>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</si>
  <si>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</si>
  <si>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</si>
  <si>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</si>
  <si>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</si>
  <si>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</si>
  <si>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</si>
  <si>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</si>
  <si>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</si>
  <si>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</si>
  <si>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</si>
  <si>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</si>
  <si>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</si>
  <si>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</si>
  <si>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</si>
  <si>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</si>
  <si>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</si>
  <si>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</si>
  <si>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</si>
  <si>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</si>
  <si>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</si>
  <si>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</si>
  <si>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</si>
  <si>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</si>
  <si>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</si>
  <si>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</si>
  <si>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</si>
  <si>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</si>
  <si>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</si>
  <si>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</si>
  <si>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</si>
  <si>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</si>
  <si>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</si>
  <si>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</si>
  <si>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</si>
  <si>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</si>
  <si>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</si>
  <si>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</si>
  <si>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</si>
  <si>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</si>
  <si>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</si>
  <si>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AA0330</t>
  </si>
  <si>
    <t>AA0340</t>
  </si>
  <si>
    <t>Prestazioni di ricovero</t>
  </si>
  <si>
    <t>AA0350</t>
  </si>
  <si>
    <t>Rimborso per prestazioni in regime di ricovero (DRG)</t>
  </si>
  <si>
    <t>AA0360</t>
  </si>
  <si>
    <t>Rimborso per prestazioni ambulatoriali e diagnostiche</t>
  </si>
  <si>
    <t>AA0361</t>
  </si>
  <si>
    <t>AA0370</t>
  </si>
  <si>
    <t>AA0380</t>
  </si>
  <si>
    <t>AA0390</t>
  </si>
  <si>
    <t>AA0400</t>
  </si>
  <si>
    <t>AA0410</t>
  </si>
  <si>
    <t>AA0420</t>
  </si>
  <si>
    <t>AA0421</t>
  </si>
  <si>
    <t>AA0422</t>
  </si>
  <si>
    <t>AA0423</t>
  </si>
  <si>
    <t>AA0424</t>
  </si>
  <si>
    <t>AA0425</t>
  </si>
  <si>
    <t>AA0430</t>
  </si>
  <si>
    <t xml:space="preserve">Ricavi per prestaz. sanitarie e sociosanitarie a rilevanza sanitaria erogate ad altri soggetti pubblici </t>
  </si>
  <si>
    <t>AA0440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</si>
  <si>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</si>
  <si>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</si>
  <si>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</si>
  <si>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</si>
  <si>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</si>
  <si>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</si>
  <si>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AA0471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</si>
  <si>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</si>
  <si>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</si>
  <si>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</si>
  <si>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</si>
  <si>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</si>
  <si>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</si>
  <si>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</si>
  <si>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</si>
  <si>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</si>
  <si>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</si>
  <si>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</si>
  <si>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</si>
  <si>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</si>
  <si>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</si>
  <si>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</si>
  <si>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</si>
  <si>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</si>
  <si>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</si>
  <si>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</si>
  <si>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</si>
  <si>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</si>
  <si>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</si>
  <si>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</si>
  <si>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</si>
  <si>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</si>
  <si>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</si>
  <si>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</si>
  <si>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</si>
  <si>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</si>
  <si>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</si>
  <si>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</si>
  <si>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</si>
  <si>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</si>
  <si>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</si>
  <si>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</si>
  <si>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</si>
  <si>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</si>
  <si>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</si>
  <si>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</si>
  <si>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</si>
  <si>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</si>
  <si>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</si>
  <si>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</si>
  <si>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</si>
  <si>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</si>
  <si>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</si>
  <si>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</si>
  <si>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</si>
  <si>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</si>
  <si>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</si>
  <si>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</si>
  <si>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</si>
  <si>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</si>
  <si>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</si>
  <si>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</si>
  <si>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</si>
  <si>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</si>
  <si>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</si>
  <si>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</si>
  <si>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</si>
  <si>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</si>
  <si>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</si>
  <si>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</si>
  <si>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</si>
  <si>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</si>
  <si>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</si>
  <si>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</si>
  <si>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</si>
  <si>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</si>
  <si>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</si>
  <si>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</si>
  <si>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</si>
  <si>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</si>
  <si>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</si>
  <si>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</si>
  <si>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</si>
  <si>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</si>
  <si>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</si>
  <si>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</si>
  <si>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</si>
  <si>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</si>
  <si>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</si>
  <si>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</si>
  <si>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</si>
  <si>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</si>
  <si>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</si>
  <si>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</si>
  <si>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</si>
  <si>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</si>
  <si>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Rimborsi assicurativi</t>
  </si>
  <si>
    <t>AA0760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</si>
  <si>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</si>
  <si>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</si>
  <si>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</si>
  <si>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</si>
  <si>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</si>
  <si>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</si>
  <si>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</si>
  <si>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</si>
  <si>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AA0830</t>
  </si>
  <si>
    <t>Altri concorsi, recuperi e rimborsi da parte della Regione - GSA</t>
  </si>
  <si>
    <t>AA0831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</si>
  <si>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</si>
  <si>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</si>
  <si>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</si>
  <si>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</si>
  <si>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</si>
  <si>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</si>
  <si>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</si>
  <si>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</si>
  <si>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</si>
  <si>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</si>
  <si>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</si>
  <si>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</si>
  <si>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AA0880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</si>
  <si>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</si>
  <si>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</si>
  <si>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</si>
  <si>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</si>
  <si>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</si>
  <si>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</si>
  <si>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</si>
  <si>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</si>
  <si>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</si>
  <si>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</si>
  <si>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</si>
  <si>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</si>
  <si>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</si>
  <si>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</si>
  <si>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</si>
  <si>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</si>
  <si>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</si>
  <si>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</si>
  <si>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</si>
  <si>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</si>
  <si>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</si>
  <si>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</si>
  <si>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</si>
  <si>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</si>
  <si>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</si>
  <si>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</si>
  <si>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</si>
  <si>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</si>
  <si>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</si>
  <si>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</si>
  <si>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</si>
  <si>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</si>
  <si>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</si>
  <si>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</si>
  <si>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</si>
  <si>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</si>
  <si>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</si>
  <si>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</si>
  <si>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</si>
  <si>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</si>
  <si>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</si>
  <si>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</si>
  <si>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</si>
  <si>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</si>
  <si>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AA1070</t>
  </si>
  <si>
    <t>Differenze alberghiere camere speciali</t>
  </si>
  <si>
    <t>Cessione liquidi di fissaggio, rottami e materiali diversi</t>
  </si>
  <si>
    <t>Altri ricavi per prestazioni non sanitarie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</si>
  <si>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</si>
  <si>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</si>
  <si>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</si>
  <si>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</si>
  <si>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</si>
  <si>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</si>
  <si>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</si>
  <si>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</si>
  <si>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CA0010</t>
  </si>
  <si>
    <t>Interessi attivi su c/tesoreria unica</t>
  </si>
  <si>
    <t>CA0020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</si>
  <si>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</si>
  <si>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</si>
  <si>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</si>
  <si>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</si>
  <si>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</si>
  <si>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</si>
  <si>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</si>
  <si>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</si>
  <si>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</si>
  <si>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</si>
  <si>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</si>
  <si>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</si>
  <si>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</si>
  <si>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</si>
  <si>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</si>
  <si>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</si>
  <si>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</si>
  <si>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</si>
  <si>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</si>
  <si>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</si>
  <si>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</si>
  <si>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</si>
  <si>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</si>
  <si>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</si>
  <si>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</si>
  <si>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</si>
  <si>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</si>
  <si>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</si>
  <si>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</si>
  <si>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</si>
  <si>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</si>
  <si>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</si>
  <si>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</si>
  <si>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</si>
  <si>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</si>
  <si>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</si>
  <si>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</si>
  <si>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</si>
  <si>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</si>
  <si>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</si>
  <si>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</si>
  <si>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</si>
  <si>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</si>
  <si>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</si>
  <si>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</si>
  <si>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</si>
  <si>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>Insussistenze attive v/Aziende sanitarie pubbliche della Regione</t>
  </si>
  <si>
    <t>EA0160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</si>
  <si>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</si>
  <si>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</si>
  <si>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</si>
  <si>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</si>
  <si>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</si>
  <si>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</si>
  <si>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</si>
  <si>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</si>
  <si>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</si>
  <si>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</si>
  <si>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</si>
  <si>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</si>
  <si>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</si>
  <si>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</si>
  <si>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</si>
  <si>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BA0010</t>
  </si>
  <si>
    <t>BA0020</t>
  </si>
  <si>
    <t>BA0030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</si>
  <si>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</si>
  <si>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</si>
  <si>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</si>
  <si>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</si>
  <si>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</si>
  <si>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</si>
  <si>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</si>
  <si>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</si>
  <si>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</si>
  <si>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</si>
  <si>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</si>
  <si>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</si>
  <si>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</si>
  <si>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BA0070</t>
  </si>
  <si>
    <t>BA0080</t>
  </si>
  <si>
    <t>BA0090</t>
  </si>
  <si>
    <t>da altri soggetti</t>
  </si>
  <si>
    <t>BA0100</t>
  </si>
  <si>
    <t>Dispositivi medici</t>
  </si>
  <si>
    <t>BA0210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</si>
  <si>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</si>
  <si>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</si>
  <si>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</si>
  <si>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</si>
  <si>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</si>
  <si>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</si>
  <si>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</si>
  <si>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</si>
  <si>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</si>
  <si>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</si>
  <si>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</si>
  <si>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</si>
  <si>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</si>
  <si>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</si>
  <si>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</si>
  <si>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BA0300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</si>
  <si>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</si>
  <si>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</si>
  <si>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</si>
  <si>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</si>
  <si>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</si>
  <si>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</si>
  <si>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</si>
  <si>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</si>
  <si>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</si>
  <si>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</si>
  <si>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</si>
  <si>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</si>
  <si>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</si>
  <si>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</si>
  <si>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BA0350</t>
  </si>
  <si>
    <t>Cancelleria e stampati</t>
  </si>
  <si>
    <t>Materiali di consumo per l'informatica</t>
  </si>
  <si>
    <t>Materiale didattico, audiovisivo e fotografico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</si>
  <si>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</si>
  <si>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</si>
  <si>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</si>
  <si>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</si>
  <si>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</si>
  <si>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BA0380</t>
  </si>
  <si>
    <t>BA0390</t>
  </si>
  <si>
    <t>BA0400</t>
  </si>
  <si>
    <t>BA0410</t>
  </si>
  <si>
    <t>BA0420</t>
  </si>
  <si>
    <t>BA0430</t>
  </si>
  <si>
    <t>BA0440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</si>
  <si>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</si>
  <si>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</si>
  <si>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</si>
  <si>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</si>
  <si>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</si>
  <si>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</si>
  <si>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</si>
  <si>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</si>
  <si>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</si>
  <si>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</si>
  <si>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</si>
  <si>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</si>
  <si>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</si>
  <si>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</si>
  <si>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BA0460</t>
  </si>
  <si>
    <t>Medicina fiscale</t>
  </si>
  <si>
    <t>BA0470</t>
  </si>
  <si>
    <t>BA0480</t>
  </si>
  <si>
    <t>BA0490</t>
  </si>
  <si>
    <t>BA0500</t>
  </si>
  <si>
    <t>Prodotti farmaceutici e galenici</t>
  </si>
  <si>
    <t>Contributi farmacie rurali ed Enpaf</t>
  </si>
  <si>
    <t>BA0510</t>
  </si>
  <si>
    <t>BA0520</t>
  </si>
  <si>
    <t>BA0530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</si>
  <si>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</si>
  <si>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</si>
  <si>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</si>
  <si>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</si>
  <si>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</si>
  <si>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</si>
  <si>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</si>
  <si>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</si>
  <si>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</si>
  <si>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</si>
  <si>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</si>
  <si>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</si>
  <si>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</si>
  <si>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BA0570</t>
  </si>
  <si>
    <t>BA0580</t>
  </si>
  <si>
    <t>Servizi sanitari per assistenza specialistica da IRCCS privati e Policlinici privati</t>
  </si>
  <si>
    <t>BA0590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</si>
  <si>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</si>
  <si>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</si>
  <si>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</si>
  <si>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</si>
  <si>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</si>
  <si>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</si>
  <si>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</si>
  <si>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</si>
  <si>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</si>
  <si>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</si>
  <si>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</si>
  <si>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</si>
  <si>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</si>
  <si>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</si>
  <si>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</si>
  <si>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</si>
  <si>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BA0640</t>
  </si>
  <si>
    <t>BA0650</t>
  </si>
  <si>
    <t>BA0660</t>
  </si>
  <si>
    <t>BA0670</t>
  </si>
  <si>
    <t>BA0680</t>
  </si>
  <si>
    <t>BA0690</t>
  </si>
  <si>
    <t>BA0700</t>
  </si>
  <si>
    <t>BA0710</t>
  </si>
  <si>
    <t>BA0720</t>
  </si>
  <si>
    <t>BA0730</t>
  </si>
  <si>
    <t>BA0740</t>
  </si>
  <si>
    <t>AFIR farmacie convenzionate</t>
  </si>
  <si>
    <t>Fornitura ausilii per incontinenti</t>
  </si>
  <si>
    <t>Ossigeno terapia domiciliare</t>
  </si>
  <si>
    <t>AFIR altro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</si>
  <si>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</si>
  <si>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</si>
  <si>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</si>
  <si>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</si>
  <si>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</si>
  <si>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</si>
  <si>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</si>
  <si>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</si>
  <si>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</si>
  <si>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</si>
  <si>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</si>
  <si>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</si>
  <si>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</si>
  <si>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</si>
  <si>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</si>
  <si>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</si>
  <si>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</si>
  <si>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</si>
  <si>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</si>
  <si>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</si>
  <si>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</si>
  <si>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</si>
  <si>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</si>
  <si>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</si>
  <si>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BA0900</t>
  </si>
  <si>
    <t>BA0910</t>
  </si>
  <si>
    <t>BA0920</t>
  </si>
  <si>
    <t>BA0930</t>
  </si>
  <si>
    <t>BA0940</t>
  </si>
  <si>
    <t>BA0950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</si>
  <si>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</si>
  <si>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</si>
  <si>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</si>
  <si>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</si>
  <si>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</si>
  <si>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</si>
  <si>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</si>
  <si>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</si>
  <si>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</si>
  <si>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BA1030</t>
  </si>
  <si>
    <t>BA1040</t>
  </si>
  <si>
    <t>BA1050</t>
  </si>
  <si>
    <t>BA1060</t>
  </si>
  <si>
    <t>BA1070</t>
  </si>
  <si>
    <t>BA1080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</si>
  <si>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</si>
  <si>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</si>
  <si>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</si>
  <si>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</si>
  <si>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</si>
  <si>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</si>
  <si>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</si>
  <si>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</si>
  <si>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</si>
  <si>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BA1140</t>
  </si>
  <si>
    <t>BA1150</t>
  </si>
  <si>
    <t>Assistenza domiciliare integrata (ADI)</t>
  </si>
  <si>
    <t>BA1151</t>
  </si>
  <si>
    <t>BA1152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</si>
  <si>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</si>
  <si>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</si>
  <si>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</si>
  <si>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</si>
  <si>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</si>
  <si>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>BA1161</t>
  </si>
  <si>
    <t>BA1170</t>
  </si>
  <si>
    <t>BA1180</t>
  </si>
  <si>
    <t>Conv. per ass. ostetrica ed infermieristica</t>
  </si>
  <si>
    <t>Conv. per ass. domiciliare -ADI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</si>
  <si>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</si>
  <si>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</si>
  <si>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</si>
  <si>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</si>
  <si>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</si>
  <si>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</si>
  <si>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</si>
  <si>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</si>
  <si>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</si>
  <si>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</si>
  <si>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</si>
  <si>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</si>
  <si>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</si>
  <si>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</si>
  <si>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</si>
  <si>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BA1250</t>
  </si>
  <si>
    <t>BA1260</t>
  </si>
  <si>
    <t>Consulenze a favore di terzi, rimborsate Dirigenza ruolo professionale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</si>
  <si>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</si>
  <si>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</si>
  <si>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</si>
  <si>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>Personale di supporto diretto e indiretto</t>
  </si>
  <si>
    <t>Quota di perequazione</t>
  </si>
  <si>
    <t>BA1270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</si>
  <si>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</si>
  <si>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</si>
  <si>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</si>
  <si>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</si>
  <si>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</si>
  <si>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</si>
  <si>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</si>
  <si>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</si>
  <si>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</si>
  <si>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</si>
  <si>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</si>
  <si>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</si>
  <si>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</si>
  <si>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</si>
  <si>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</si>
  <si>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</si>
  <si>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</si>
  <si>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</si>
  <si>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</si>
  <si>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</si>
  <si>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</si>
  <si>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</si>
  <si>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</si>
  <si>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</si>
  <si>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</si>
  <si>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</si>
  <si>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</si>
  <si>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</si>
  <si>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</si>
  <si>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</si>
  <si>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BA1380</t>
  </si>
  <si>
    <t>Consulenze sanitarie da privato - articolo 55, comma 2, CCNL 8 giugno 2000</t>
  </si>
  <si>
    <t>BA1390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</si>
  <si>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</si>
  <si>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</si>
  <si>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</si>
  <si>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</si>
  <si>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</si>
  <si>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</si>
  <si>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</si>
  <si>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</si>
  <si>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</si>
  <si>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>BA1420</t>
  </si>
  <si>
    <t>BA1430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</si>
  <si>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</si>
  <si>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</si>
  <si>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</si>
  <si>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</si>
  <si>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</si>
  <si>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</si>
  <si>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</si>
  <si>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</si>
  <si>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</si>
  <si>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</si>
  <si>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</si>
  <si>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</si>
  <si>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</si>
  <si>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</si>
  <si>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</si>
  <si>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</si>
  <si>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</si>
  <si>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</si>
  <si>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</si>
  <si>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</si>
  <si>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</si>
  <si>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</si>
  <si>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</si>
  <si>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</si>
  <si>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</si>
  <si>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</si>
  <si>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</si>
  <si>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</si>
  <si>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</si>
  <si>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</si>
  <si>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</si>
  <si>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</si>
  <si>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</si>
  <si>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</si>
  <si>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</si>
  <si>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>BA1570</t>
  </si>
  <si>
    <t>Lavanderia</t>
  </si>
  <si>
    <t>BA1580</t>
  </si>
  <si>
    <t>Pulizia</t>
  </si>
  <si>
    <t>BA1590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</si>
  <si>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</si>
  <si>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</si>
  <si>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</si>
  <si>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</si>
  <si>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</si>
  <si>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</si>
  <si>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</si>
  <si>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</si>
  <si>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</si>
  <si>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</si>
  <si>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</si>
  <si>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</si>
  <si>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</si>
  <si>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</si>
  <si>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</si>
  <si>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</si>
  <si>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</si>
  <si>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</si>
  <si>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</si>
  <si>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</si>
  <si>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</si>
  <si>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</si>
  <si>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</si>
  <si>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</si>
  <si>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</si>
  <si>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</si>
  <si>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BA1680</t>
  </si>
  <si>
    <t>BA1690</t>
  </si>
  <si>
    <t>Premi di assicurazione - Altri premi assicurativi</t>
  </si>
  <si>
    <t>BA1700</t>
  </si>
  <si>
    <t>BA1710</t>
  </si>
  <si>
    <t>Altri servizi non sanitari da pubblico (Aziende sanitarie pubbliche della Regione)</t>
  </si>
  <si>
    <t>BA1720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</si>
  <si>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</si>
  <si>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</si>
  <si>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</si>
  <si>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</si>
  <si>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</si>
  <si>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</si>
  <si>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</si>
  <si>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</si>
  <si>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</si>
  <si>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</si>
  <si>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</si>
  <si>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</si>
  <si>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</si>
  <si>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</si>
  <si>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</si>
  <si>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</si>
  <si>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</si>
  <si>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</si>
  <si>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</si>
  <si>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</si>
  <si>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</si>
  <si>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</si>
  <si>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</si>
  <si>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</si>
  <si>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BA1780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</si>
  <si>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</si>
  <si>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</si>
  <si>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</si>
  <si>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</si>
  <si>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</si>
  <si>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</si>
  <si>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</si>
  <si>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</si>
  <si>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>BA1810</t>
  </si>
  <si>
    <t>BA1820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</si>
  <si>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</si>
  <si>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</si>
  <si>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</si>
  <si>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</si>
  <si>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</si>
  <si>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BA1831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</si>
  <si>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</si>
  <si>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</si>
  <si>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</si>
  <si>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</si>
  <si>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</si>
  <si>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</si>
  <si>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</si>
  <si>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</si>
  <si>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</si>
  <si>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</si>
  <si>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</si>
  <si>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</si>
  <si>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ai fabbricati e loro pertinenze</t>
  </si>
  <si>
    <t>BA1920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</si>
  <si>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</si>
  <si>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</si>
  <si>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</si>
  <si>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</si>
  <si>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</si>
  <si>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</si>
  <si>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</si>
  <si>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</si>
  <si>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</si>
  <si>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</si>
  <si>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</si>
  <si>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</si>
  <si>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</si>
  <si>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</si>
  <si>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</si>
  <si>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</si>
  <si>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</si>
  <si>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BA2000</t>
  </si>
  <si>
    <t>Locazioni passive</t>
  </si>
  <si>
    <t>Spese condominiali</t>
  </si>
  <si>
    <t>BA2010</t>
  </si>
  <si>
    <t>Canoni di noleggio - area sanitaria</t>
  </si>
  <si>
    <t>BA2020</t>
  </si>
  <si>
    <t>BA2030</t>
  </si>
  <si>
    <t>Canoni hardware e software</t>
  </si>
  <si>
    <t>Canoni fotocopiatrici</t>
  </si>
  <si>
    <t>Canoni noleggio automezzi</t>
  </si>
  <si>
    <t>Canoni noleggio altro</t>
  </si>
  <si>
    <t>BA2040</t>
  </si>
  <si>
    <t>BA2050</t>
  </si>
  <si>
    <t>BA2060</t>
  </si>
  <si>
    <t>Canoni di project financing</t>
  </si>
  <si>
    <t>BA2061</t>
  </si>
  <si>
    <t>Locazioni e noleggi da Aziende sanitarie pubbliche della Regione</t>
  </si>
  <si>
    <t>BA2070</t>
  </si>
  <si>
    <t>BA2090</t>
  </si>
  <si>
    <t>BA2100</t>
  </si>
  <si>
    <t>BA2110</t>
  </si>
  <si>
    <t>BA2120</t>
  </si>
  <si>
    <t>BA2130</t>
  </si>
  <si>
    <t>Costo del personale dirigente medico - altro</t>
  </si>
  <si>
    <t>BA2140</t>
  </si>
  <si>
    <t>BA2150</t>
  </si>
  <si>
    <t>BA2160</t>
  </si>
  <si>
    <t>BA2170</t>
  </si>
  <si>
    <t>BA2180</t>
  </si>
  <si>
    <t>BA2190</t>
  </si>
  <si>
    <t>BA2200</t>
  </si>
  <si>
    <t>BA2210</t>
  </si>
  <si>
    <t>Costo del personale comparto ruolo sanitario - altro</t>
  </si>
  <si>
    <t>BA2220</t>
  </si>
  <si>
    <t>BA2230</t>
  </si>
  <si>
    <t>BA2240</t>
  </si>
  <si>
    <t>BA2250</t>
  </si>
  <si>
    <t>BA2260</t>
  </si>
  <si>
    <t>Costo del personale dirigente ruolo professionale - altro</t>
  </si>
  <si>
    <t>BA2270</t>
  </si>
  <si>
    <t>BA2280</t>
  </si>
  <si>
    <t>BA2290</t>
  </si>
  <si>
    <t>BA2300</t>
  </si>
  <si>
    <t>Costo del personale comparto ruolo professionale - altro</t>
  </si>
  <si>
    <t>BA2310</t>
  </si>
  <si>
    <t>BA2320</t>
  </si>
  <si>
    <t>BA2330</t>
  </si>
  <si>
    <t>BA2340</t>
  </si>
  <si>
    <t>BA2350</t>
  </si>
  <si>
    <t>Costo del personale dirigente ruolo tecnico - altro</t>
  </si>
  <si>
    <t>BA2360</t>
  </si>
  <si>
    <t>BA2370</t>
  </si>
  <si>
    <t>BA2380</t>
  </si>
  <si>
    <t>BA2390</t>
  </si>
  <si>
    <t>Costo del personale comparto ruolo tecnico - altro</t>
  </si>
  <si>
    <t>BA2400</t>
  </si>
  <si>
    <t>BA2410</t>
  </si>
  <si>
    <t>BA2420</t>
  </si>
  <si>
    <t>BA2430</t>
  </si>
  <si>
    <t>BA2440</t>
  </si>
  <si>
    <t>Costo del personale dirigente ruolo amministrativo - altro</t>
  </si>
  <si>
    <t>BA2450</t>
  </si>
  <si>
    <t>BA2460</t>
  </si>
  <si>
    <t>BA2470</t>
  </si>
  <si>
    <t>BA2480</t>
  </si>
  <si>
    <t>Costo del personale comparto ruolo amministrativo - altro</t>
  </si>
  <si>
    <t>BA2490</t>
  </si>
  <si>
    <t>BA2500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</si>
  <si>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</si>
  <si>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</si>
  <si>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</si>
  <si>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</si>
  <si>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</si>
  <si>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</si>
  <si>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</si>
  <si>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</si>
  <si>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</si>
  <si>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</si>
  <si>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</si>
  <si>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</si>
  <si>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BA2540</t>
  </si>
  <si>
    <t>Compensi agli organi direttivi e di indirizzo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</si>
  <si>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</si>
  <si>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</si>
  <si>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</si>
  <si>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</si>
  <si>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</si>
  <si>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</si>
  <si>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</si>
  <si>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</si>
  <si>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</si>
  <si>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</si>
  <si>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</si>
  <si>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</si>
  <si>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BA2570</t>
  </si>
  <si>
    <t>Ammortamento Costi di impianto e ampliamento</t>
  </si>
  <si>
    <t>Ammortamento Costi di ricerca, sviluppo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</si>
  <si>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</si>
  <si>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</si>
  <si>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</si>
  <si>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</si>
  <si>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</si>
  <si>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BA2580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</si>
  <si>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</si>
  <si>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</si>
  <si>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</si>
  <si>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</si>
  <si>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</si>
  <si>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</si>
  <si>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</si>
  <si>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</si>
  <si>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</si>
  <si>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</si>
  <si>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</si>
  <si>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BA2630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</si>
  <si>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</si>
  <si>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</si>
  <si>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</si>
  <si>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</si>
  <si>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</si>
  <si>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</si>
  <si>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</si>
  <si>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</si>
  <si>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</si>
  <si>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</si>
  <si>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</si>
  <si>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</si>
  <si>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</si>
  <si>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</si>
  <si>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>Svalutazione oggetti d'arte</t>
  </si>
  <si>
    <t>Svalutazione altre immobilizzazioni materiali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</si>
  <si>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</si>
  <si>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</si>
  <si>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</si>
  <si>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</si>
  <si>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</si>
  <si>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</si>
  <si>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</si>
  <si>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</si>
  <si>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</si>
  <si>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</si>
  <si>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</si>
  <si>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</si>
  <si>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</si>
  <si>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</si>
  <si>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</si>
  <si>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</si>
  <si>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</si>
  <si>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</si>
  <si>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</si>
  <si>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</si>
  <si>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</si>
  <si>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</si>
  <si>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</si>
  <si>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</si>
  <si>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</si>
  <si>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</si>
  <si>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</si>
  <si>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</si>
  <si>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</si>
  <si>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</si>
  <si>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</si>
  <si>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</si>
  <si>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</si>
  <si>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</si>
  <si>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</si>
  <si>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</si>
  <si>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</si>
  <si>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</si>
  <si>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</si>
  <si>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</si>
  <si>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</si>
  <si>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</si>
  <si>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</si>
  <si>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</si>
  <si>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</si>
  <si>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</si>
  <si>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</si>
  <si>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</si>
  <si>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</si>
  <si>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</si>
  <si>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</si>
  <si>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</si>
  <si>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</si>
  <si>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BA2680</t>
  </si>
  <si>
    <t>BA2681</t>
  </si>
  <si>
    <t>BA2682</t>
  </si>
  <si>
    <t>BA2683</t>
  </si>
  <si>
    <t>BA2684</t>
  </si>
  <si>
    <t>BA2685</t>
  </si>
  <si>
    <t>BA2686</t>
  </si>
  <si>
    <t>BA2690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</si>
  <si>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</si>
  <si>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</si>
  <si>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</si>
  <si>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</si>
  <si>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</si>
  <si>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</si>
  <si>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</si>
  <si>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</si>
  <si>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</si>
  <si>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</si>
  <si>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</si>
  <si>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</si>
  <si>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</si>
  <si>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</si>
  <si>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</si>
  <si>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</si>
  <si>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</si>
  <si>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BA2760</t>
  </si>
  <si>
    <t>Accantonamento al fondo SUMAI - Specialisti ambulatoriali</t>
  </si>
  <si>
    <t>Accantonamento al fondo SUMAI - altre professioni</t>
  </si>
  <si>
    <t>BA2770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</si>
  <si>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</si>
  <si>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</si>
  <si>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</si>
  <si>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</si>
  <si>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</si>
  <si>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</si>
  <si>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</si>
  <si>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</si>
  <si>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</si>
  <si>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</si>
  <si>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</si>
  <si>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</si>
  <si>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</si>
  <si>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</si>
  <si>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</si>
  <si>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</si>
  <si>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</si>
  <si>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</si>
  <si>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</si>
  <si>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</si>
  <si>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</si>
  <si>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</si>
  <si>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</si>
  <si>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</si>
  <si>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</si>
  <si>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</si>
  <si>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</si>
  <si>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</si>
  <si>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</si>
  <si>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</si>
  <si>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</si>
  <si>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</si>
  <si>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</si>
  <si>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</si>
  <si>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</si>
  <si>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</si>
  <si>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</si>
  <si>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</si>
  <si>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</si>
  <si>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</si>
  <si>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</si>
  <si>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</si>
  <si>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</si>
  <si>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</si>
  <si>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</si>
  <si>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</si>
  <si>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</si>
  <si>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</si>
  <si>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</si>
  <si>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</si>
  <si>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</si>
  <si>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</si>
  <si>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</si>
  <si>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</si>
  <si>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</si>
  <si>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EA0310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</si>
  <si>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</si>
  <si>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</si>
  <si>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</si>
  <si>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</si>
  <si>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</si>
  <si>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EA0350</t>
  </si>
  <si>
    <t>Sopravvenienze passive v/terzi relative alla mobilità extraregionale</t>
  </si>
  <si>
    <t>EA0360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</si>
  <si>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</si>
  <si>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</si>
  <si>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</si>
  <si>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</si>
  <si>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</si>
  <si>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</si>
  <si>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</si>
  <si>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</si>
  <si>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</si>
  <si>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</si>
  <si>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</si>
  <si>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</si>
  <si>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</si>
  <si>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</si>
  <si>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</si>
  <si>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</si>
  <si>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</si>
  <si>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</si>
  <si>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</si>
  <si>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</si>
  <si>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</si>
  <si>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</si>
  <si>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</si>
  <si>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</si>
  <si>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</si>
  <si>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</si>
  <si>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</si>
  <si>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</si>
  <si>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</si>
  <si>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</si>
  <si>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</si>
  <si>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</si>
  <si>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</si>
  <si>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</si>
  <si>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</si>
  <si>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</si>
  <si>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</si>
  <si>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</si>
  <si>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</si>
  <si>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</si>
  <si>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</si>
  <si>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</si>
  <si>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</si>
  <si>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</si>
  <si>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</si>
  <si>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</si>
  <si>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</si>
  <si>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</si>
  <si>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</si>
  <si>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</si>
  <si>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</si>
  <si>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</si>
  <si>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</si>
  <si>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</si>
  <si>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</si>
  <si>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</si>
  <si>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</si>
  <si>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</si>
  <si>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</si>
  <si>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</si>
  <si>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</si>
  <si>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</si>
  <si>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</si>
  <si>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</si>
  <si>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</si>
  <si>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</si>
  <si>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</si>
  <si>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</si>
  <si>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</si>
  <si>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</si>
  <si>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</si>
  <si>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</si>
  <si>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</si>
  <si>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</si>
  <si>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</si>
  <si>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</si>
  <si>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</si>
  <si>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</si>
  <si>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</si>
  <si>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</si>
  <si>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</si>
  <si>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</si>
  <si>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</si>
  <si>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</si>
  <si>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</si>
  <si>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</si>
  <si>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</si>
  <si>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</si>
  <si>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</si>
  <si>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</si>
  <si>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</si>
  <si>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</si>
  <si>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</si>
  <si>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</si>
  <si>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</si>
  <si>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</si>
  <si>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</si>
  <si>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</si>
  <si>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</si>
  <si>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</si>
  <si>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</si>
  <si>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</si>
  <si>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</si>
  <si>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</si>
  <si>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</si>
  <si>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</si>
  <si>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</si>
  <si>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</si>
  <si>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</si>
  <si>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</si>
  <si>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</si>
  <si>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</si>
  <si>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</si>
  <si>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</si>
  <si>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</si>
  <si>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</si>
  <si>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</si>
  <si>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</si>
  <si>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</si>
  <si>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</si>
  <si>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</si>
  <si>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</si>
  <si>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</si>
  <si>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</si>
  <si>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</si>
  <si>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</si>
  <si>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</si>
  <si>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</si>
  <si>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</si>
  <si>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</si>
  <si>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</si>
  <si>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</si>
  <si>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</si>
  <si>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</si>
  <si>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</si>
  <si>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</si>
  <si>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</si>
  <si>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</si>
  <si>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</si>
  <si>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</si>
  <si>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</si>
  <si>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</si>
  <si>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</si>
  <si>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</si>
  <si>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</si>
  <si>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</si>
  <si>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</si>
  <si>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</si>
  <si>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</si>
  <si>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</si>
  <si>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</si>
  <si>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</si>
  <si>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</si>
  <si>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</si>
  <si>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</si>
  <si>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</si>
  <si>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</si>
  <si>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</si>
  <si>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</si>
  <si>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</si>
  <si>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</si>
  <si>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</si>
  <si>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</si>
  <si>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</si>
  <si>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</si>
  <si>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</si>
  <si>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</si>
  <si>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</si>
  <si>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</si>
  <si>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</si>
  <si>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</si>
  <si>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</si>
  <si>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</si>
  <si>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</si>
  <si>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</si>
  <si>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</si>
  <si>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</si>
  <si>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</si>
  <si>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</si>
  <si>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</si>
  <si>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</si>
  <si>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</si>
  <si>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</si>
  <si>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</si>
  <si>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</si>
  <si>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</si>
  <si>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</si>
  <si>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</si>
  <si>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</si>
  <si>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</si>
  <si>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</si>
  <si>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</si>
  <si>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</si>
  <si>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</si>
  <si>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</si>
  <si>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</si>
  <si>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</si>
  <si>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</si>
  <si>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</si>
  <si>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</si>
  <si>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</si>
  <si>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</si>
  <si>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</si>
  <si>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</si>
  <si>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</si>
  <si>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</si>
  <si>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</si>
  <si>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</si>
  <si>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</si>
  <si>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</si>
  <si>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</si>
  <si>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</si>
  <si>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</si>
  <si>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</si>
  <si>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</si>
  <si>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</si>
  <si>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</si>
  <si>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</si>
  <si>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</si>
  <si>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</si>
  <si>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</si>
  <si>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</si>
  <si>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</si>
  <si>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</si>
  <si>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</si>
  <si>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</si>
  <si>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</si>
  <si>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</si>
  <si>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</si>
  <si>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</si>
  <si>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</si>
  <si>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</si>
  <si>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</si>
  <si>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</si>
  <si>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</si>
  <si>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</si>
  <si>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</si>
  <si>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</si>
  <si>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</si>
  <si>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</si>
  <si>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</si>
  <si>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</si>
  <si>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</si>
  <si>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</si>
  <si>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</si>
  <si>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</si>
  <si>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</si>
  <si>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</si>
  <si>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</si>
  <si>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</si>
  <si>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</si>
  <si>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</si>
  <si>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</si>
  <si>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</si>
  <si>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</si>
  <si>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</si>
  <si>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</si>
  <si>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</si>
  <si>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</si>
  <si>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</si>
  <si>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</si>
  <si>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</si>
  <si>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</si>
  <si>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</si>
  <si>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</si>
  <si>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</si>
  <si>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</si>
  <si>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</si>
  <si>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</si>
  <si>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</si>
  <si>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</si>
  <si>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</si>
  <si>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</si>
  <si>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</si>
  <si>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</si>
  <si>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</si>
  <si>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</si>
  <si>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</si>
  <si>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</si>
  <si>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</si>
  <si>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</si>
  <si>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</si>
  <si>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</si>
  <si>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</si>
  <si>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</si>
  <si>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</si>
  <si>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</si>
  <si>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</si>
  <si>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</si>
  <si>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</si>
  <si>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</si>
  <si>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</si>
  <si>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</si>
  <si>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</si>
  <si>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</si>
  <si>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</si>
  <si>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</si>
  <si>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</si>
  <si>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</si>
  <si>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</si>
  <si>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</si>
  <si>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</si>
  <si>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</si>
  <si>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</si>
  <si>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</si>
  <si>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</si>
  <si>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</si>
  <si>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</si>
  <si>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</si>
  <si>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</si>
  <si>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</si>
  <si>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</si>
  <si>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</si>
  <si>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</si>
  <si>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</si>
  <si>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</si>
  <si>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</si>
  <si>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</si>
  <si>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</si>
  <si>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</si>
  <si>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</si>
  <si>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</si>
  <si>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</si>
  <si>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</si>
  <si>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</si>
  <si>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</si>
  <si>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</si>
  <si>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</si>
  <si>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</si>
  <si>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</si>
  <si>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</si>
  <si>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</si>
  <si>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</si>
  <si>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</si>
  <si>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</si>
  <si>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</si>
  <si>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</si>
  <si>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</si>
  <si>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</si>
  <si>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</si>
  <si>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</si>
  <si>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</si>
  <si>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</si>
  <si>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</si>
  <si>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</si>
  <si>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</si>
  <si>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</si>
  <si>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</si>
  <si>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</si>
  <si>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</si>
  <si>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</si>
  <si>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</si>
  <si>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</si>
  <si>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</si>
  <si>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</si>
  <si>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</si>
  <si>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</si>
  <si>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</si>
  <si>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</si>
  <si>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</si>
  <si>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</si>
  <si>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</si>
  <si>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</si>
  <si>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</si>
  <si>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</si>
  <si>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</si>
  <si>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</si>
  <si>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</si>
  <si>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</si>
  <si>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</si>
  <si>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</si>
  <si>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</si>
  <si>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</si>
  <si>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</si>
  <si>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</si>
  <si>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</si>
  <si>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</si>
  <si>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</si>
  <si>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</si>
  <si>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</si>
  <si>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</si>
  <si>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</si>
  <si>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</si>
  <si>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</si>
  <si>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</si>
  <si>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</si>
  <si>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</si>
  <si>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</si>
  <si>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</si>
  <si>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</si>
  <si>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</si>
  <si>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</si>
  <si>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</si>
  <si>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</si>
  <si>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</si>
  <si>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</si>
  <si>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</si>
  <si>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</si>
  <si>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</si>
  <si>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</si>
  <si>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</si>
  <si>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</si>
  <si>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</si>
  <si>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</si>
  <si>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</si>
  <si>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</si>
  <si>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</si>
  <si>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</si>
  <si>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</si>
  <si>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</si>
  <si>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</si>
  <si>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</si>
  <si>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</si>
  <si>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</si>
  <si>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</si>
  <si>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</si>
  <si>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</si>
  <si>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</si>
  <si>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</si>
  <si>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</si>
  <si>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</si>
  <si>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</si>
  <si>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</si>
  <si>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</si>
  <si>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</si>
  <si>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</si>
  <si>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</si>
  <si>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</si>
  <si>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</si>
  <si>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</si>
  <si>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</si>
  <si>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</si>
  <si>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</si>
  <si>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</si>
  <si>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</si>
  <si>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</si>
  <si>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</si>
  <si>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</si>
  <si>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</si>
  <si>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</si>
  <si>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</si>
  <si>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</si>
  <si>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</si>
  <si>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</si>
  <si>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</si>
  <si>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</si>
  <si>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</si>
  <si>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</si>
  <si>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</si>
  <si>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</si>
  <si>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</si>
  <si>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</si>
  <si>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</si>
  <si>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</si>
  <si>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</si>
  <si>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</si>
  <si>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</si>
  <si>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</si>
  <si>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</si>
  <si>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</si>
  <si>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</si>
  <si>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</si>
  <si>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</si>
  <si>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</si>
  <si>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</si>
  <si>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</si>
  <si>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</si>
  <si>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</si>
  <si>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</si>
  <si>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</si>
  <si>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</si>
  <si>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</si>
  <si>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</si>
  <si>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</si>
  <si>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</si>
  <si>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</si>
  <si>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</si>
  <si>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</si>
  <si>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</si>
  <si>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</si>
  <si>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</si>
  <si>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</si>
  <si>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</si>
  <si>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</si>
  <si>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</si>
  <si>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</si>
  <si>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</si>
  <si>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</si>
  <si>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</si>
  <si>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</si>
  <si>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</si>
  <si>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</si>
  <si>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</si>
  <si>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</si>
  <si>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</si>
  <si>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</si>
  <si>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</si>
  <si>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</si>
  <si>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</si>
  <si>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</si>
  <si>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</si>
  <si>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</si>
  <si>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</si>
  <si>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</si>
  <si>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</si>
  <si>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</si>
  <si>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</si>
  <si>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</si>
  <si>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</si>
  <si>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</si>
  <si>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</si>
  <si>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</si>
  <si>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</si>
  <si>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</si>
  <si>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</si>
  <si>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</si>
  <si>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</si>
  <si>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</si>
  <si>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</si>
  <si>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</si>
  <si>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</si>
  <si>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</si>
  <si>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</si>
  <si>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</si>
  <si>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</si>
  <si>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</si>
  <si>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</si>
  <si>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</si>
  <si>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</si>
  <si>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</si>
  <si>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</si>
  <si>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</si>
  <si>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</si>
  <si>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</si>
  <si>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</si>
  <si>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</si>
  <si>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</si>
  <si>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</si>
  <si>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</si>
  <si>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</si>
  <si>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</si>
  <si>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</si>
  <si>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</si>
  <si>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</si>
  <si>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</si>
  <si>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</si>
  <si>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</si>
  <si>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</si>
  <si>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</si>
  <si>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</si>
  <si>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</si>
  <si>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</si>
  <si>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</si>
  <si>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</si>
  <si>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</si>
  <si>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</si>
  <si>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</si>
  <si>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</si>
  <si>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</si>
  <si>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</si>
  <si>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</si>
  <si>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</si>
  <si>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</si>
  <si>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</si>
  <si>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</si>
  <si>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</si>
  <si>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</si>
  <si>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</si>
  <si>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</si>
  <si>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</si>
  <si>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</si>
  <si>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</si>
  <si>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</si>
  <si>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</si>
  <si>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</si>
  <si>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</si>
  <si>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</si>
  <si>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</si>
  <si>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</si>
  <si>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</si>
  <si>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</si>
  <si>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</si>
  <si>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</si>
  <si>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</si>
  <si>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</si>
  <si>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</si>
  <si>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</si>
  <si>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</si>
  <si>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</si>
  <si>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</si>
  <si>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</si>
  <si>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</si>
  <si>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</si>
  <si>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</si>
  <si>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</si>
  <si>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</si>
  <si>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</si>
  <si>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</si>
  <si>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</si>
  <si>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</si>
  <si>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</si>
  <si>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</si>
  <si>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</si>
  <si>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</si>
  <si>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</si>
  <si>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</si>
  <si>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</si>
  <si>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</si>
  <si>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</si>
  <si>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</si>
  <si>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</si>
  <si>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</si>
  <si>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</si>
  <si>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</si>
  <si>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</si>
  <si>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</si>
  <si>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</si>
  <si>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</si>
  <si>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</si>
  <si>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</si>
  <si>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</si>
  <si>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</si>
  <si>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</si>
  <si>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</si>
  <si>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</si>
  <si>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</si>
  <si>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</si>
  <si>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</si>
  <si>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</si>
  <si>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</si>
  <si>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</si>
  <si>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</si>
  <si>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</si>
  <si>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</si>
  <si>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</si>
  <si>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</si>
  <si>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</si>
  <si>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</si>
  <si>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</si>
  <si>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</si>
  <si>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</si>
  <si>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</si>
  <si>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</si>
  <si>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</si>
  <si>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</si>
  <si>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</si>
  <si>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</si>
  <si>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</si>
  <si>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</si>
  <si>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</si>
  <si>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</si>
  <si>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</si>
  <si>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</si>
  <si>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</si>
  <si>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Il Direttore Amministrativo</t>
  </si>
  <si>
    <t>………………………………………………………………………..</t>
  </si>
  <si>
    <t>Il Direttore Generale</t>
  </si>
  <si>
    <t>Finanziamento indistinto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</si>
  <si>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</si>
  <si>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</si>
  <si>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</si>
  <si>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</si>
  <si>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</si>
  <si>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</si>
  <si>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</si>
  <si>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</si>
  <si>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</si>
  <si>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</si>
  <si>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</si>
  <si>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</si>
  <si>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</si>
  <si>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</si>
  <si>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</si>
  <si>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</si>
  <si>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</si>
  <si>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</si>
  <si>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</si>
  <si>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</si>
  <si>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</si>
  <si>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</si>
  <si>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</si>
  <si>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</si>
  <si>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</si>
  <si>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</si>
  <si>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</si>
  <si>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</si>
  <si>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</si>
  <si>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</si>
  <si>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</si>
  <si>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</si>
  <si>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</si>
  <si>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</si>
  <si>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</si>
  <si>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</si>
  <si>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</si>
  <si>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</si>
  <si>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</si>
  <si>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</si>
  <si>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</si>
  <si>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</si>
  <si>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</si>
  <si>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</si>
  <si>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</si>
  <si>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</si>
  <si>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</si>
  <si>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</si>
  <si>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</si>
  <si>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</si>
  <si>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</si>
  <si>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</si>
  <si>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</si>
  <si>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</si>
  <si>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</si>
  <si>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</si>
  <si>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</si>
  <si>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</si>
  <si>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</si>
  <si>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</si>
  <si>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</si>
  <si>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</si>
  <si>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</si>
  <si>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</si>
  <si>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</si>
  <si>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</si>
  <si>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</si>
  <si>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</si>
  <si>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</si>
  <si>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</si>
  <si>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</si>
  <si>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</si>
  <si>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</si>
  <si>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</si>
  <si>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</si>
  <si>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</si>
  <si>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</si>
  <si>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</si>
  <si>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</si>
  <si>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</si>
  <si>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</si>
  <si>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</si>
  <si>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</si>
  <si>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</si>
  <si>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</si>
  <si>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</si>
  <si>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</si>
  <si>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</si>
  <si>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</si>
  <si>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</si>
  <si>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</si>
  <si>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</si>
  <si>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</si>
  <si>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</si>
  <si>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</si>
  <si>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</si>
  <si>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</si>
  <si>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</si>
  <si>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</si>
  <si>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</si>
  <si>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</si>
  <si>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</si>
  <si>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</si>
  <si>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</si>
  <si>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</si>
  <si>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</si>
  <si>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</si>
  <si>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</si>
  <si>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</si>
  <si>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</si>
  <si>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</si>
  <si>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</si>
  <si>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</si>
  <si>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</si>
  <si>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</si>
  <si>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IVA indetraibile acquisti intercompany per medicinali con AIC</t>
  </si>
  <si>
    <t>IVA indetraibile acquisti intercompany per medicinali senza AIC</t>
  </si>
  <si>
    <t xml:space="preserve">IVA indetraibile acquisti intercompany per dispositivi medici </t>
  </si>
  <si>
    <t>IVA indetraibile acquisti intercompany per dispositivi medici impiantabili attivi</t>
  </si>
  <si>
    <t>IVA indetraibile acquisti intercompany per dispositivi medico diagnostici in vitro (IVD)</t>
  </si>
  <si>
    <t>IVA indetraibile acquisti intercompany per prodotti dietetici</t>
  </si>
  <si>
    <t>IVA indetraibile acquisti intercompany per materiali per la profilassi (vaccini)</t>
  </si>
  <si>
    <t>IVA indetraibile acquisti intercompany per prodotti chimici</t>
  </si>
  <si>
    <t>IVA indetraibile acquisti intercompany per materiali e prodotti per uso veterinario</t>
  </si>
  <si>
    <t>IVA indetraibile acquisti intercompany per altri beni e prodotti sanitari</t>
  </si>
  <si>
    <t>IVA indetraibile acquisti intercompany per prodotti alimentari</t>
  </si>
  <si>
    <t>IVA indetraibile acquisti intercompany per materiali di guardaroba, di pulizia e di convivenza in genere</t>
  </si>
  <si>
    <t>IVA indetraibile acquisti intercompany per combustibili, carburanti e lubrificanti</t>
  </si>
  <si>
    <t>IVA indetraibile acquisti intercompany per supporti informatici e cancelleria</t>
  </si>
  <si>
    <t>IVA indetraibile acquisti intercompany per materiali per manutenzione</t>
  </si>
  <si>
    <t>IVA indetraibile acquisti intercompany per altri beni e prodotti non sanitari</t>
  </si>
  <si>
    <t xml:space="preserve">Retribuzione di posizione personale sanitario universitario </t>
  </si>
  <si>
    <t>PERIODO DI RILEVAZIONE</t>
  </si>
  <si>
    <t xml:space="preserve">    PREVENTIVO</t>
  </si>
  <si>
    <t xml:space="preserve">SI </t>
  </si>
  <si>
    <t>Regione Friuli Venezia Giulia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</si>
  <si>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</si>
  <si>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</si>
  <si>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2</t>
  </si>
  <si>
    <t>AA0000</t>
  </si>
  <si>
    <t>A) Valore della produzione</t>
  </si>
  <si>
    <t>3</t>
  </si>
  <si>
    <t>A.1) Contributi in c/esercizio</t>
  </si>
  <si>
    <t>4</t>
  </si>
  <si>
    <t>A.1.A) Contributi da Regione o Prov. Aut. per quota F.S. regionale</t>
  </si>
  <si>
    <t>5</t>
  </si>
  <si>
    <t>A.1.A.1) da Regione o Prov. Aut. per quota F.S. regionale indistinto</t>
  </si>
  <si>
    <t>6</t>
  </si>
  <si>
    <t>7</t>
  </si>
  <si>
    <t>A.1.A.1.3.A) Funzioni - Pronto soccorso</t>
  </si>
  <si>
    <t>A.1.A.2) da Regione o Prov. Aut. per quota F.S. regionale vincolato</t>
  </si>
  <si>
    <t>A.1.B) Contributi c/esercizio (extra fondo)</t>
  </si>
  <si>
    <t>A.1.B.1) da Regione o Prov. Aut. (extra fondo)</t>
  </si>
  <si>
    <t>A.1.B.1.1) Contributi da Regione o Prov. Aut. (extra fondo) vincolati</t>
  </si>
  <si>
    <t>A.1.B.1.2) Contributi da Regione o Prov. Aut. (extra fondo) - Risorse aggiuntive da bilancio regionale a titolo di copertura LEA</t>
  </si>
  <si>
    <t>A.1.B.1.3) Contributi da Regione o Prov. Aut. (extra fondo) - Risorse aggiuntive da bilancio regionale a titolo di copertura extra LEA</t>
  </si>
  <si>
    <t>A.1.B.1.4) Contributi da Regione o Prov. Aut. (extra fondo) - Altro</t>
  </si>
  <si>
    <t>A.1.B.2) Contributi da Aziende sanitarie pubbliche della Regione o Prov. Aut. (extra fondo)</t>
  </si>
  <si>
    <t>A.1.B.2.1) Contributi da Aziende sanitarie pubbliche della Regione o Prov. Aut. (extra fondo) vincolati</t>
  </si>
  <si>
    <t>A.1.B.2.2) Contributi da Aziende sanitarie pubbliche della Regione o Prov. Aut. (extra fondo) altro</t>
  </si>
  <si>
    <t>A.1.B.3) Contributi da altri soggetti pubblici (extra fondo)</t>
  </si>
  <si>
    <t>A.1.B.3.5)  Contributi da altri soggetti pubblici (extra fondo) - in attuazione dell'art.79, comma 1 sexies lettera c), del D.L. 112/2008, convertito con legge 133/2008 e della legge 23 dicembre 2009, n. 191</t>
  </si>
  <si>
    <t>A.1.C) Contributi c/esercizio per ricerca</t>
  </si>
  <si>
    <t>A.1.C.1) Contributi da Ministero della Salute per ricerca corrente</t>
  </si>
  <si>
    <t>A.1.C.2) Contributi da Ministero della Salute per ricerca finalizzata</t>
  </si>
  <si>
    <t>A.1.C.3) Contributi da Regione ed altri soggetti pubblici per ricerca</t>
  </si>
  <si>
    <t>A.1.C.4) Contributi da privati per ricerca</t>
  </si>
  <si>
    <t>A.1.D) Contributi c/esercizio da privati</t>
  </si>
  <si>
    <t>A.2) Rettifica contributi c/esercizio per destinazione ad investimenti</t>
  </si>
  <si>
    <t>A.2.A) Rettifica contributi in c/esercizio per destinazione ad investimenti - da Regione o Prov. Aut. per quota F.S. regionale</t>
  </si>
  <si>
    <t>A.2.B) Rettifica contributi in c/esercizio per destinazione ad investimenti - altri contributi</t>
  </si>
  <si>
    <t>A.3) Utilizzo fondi per quote inutilizzate contributi vincolati di esercizi precedenti</t>
  </si>
  <si>
    <t>A.4) Ricavi per prestazioni sanitarie e sociosanitarie a rilevanza sanitaria</t>
  </si>
  <si>
    <t>A.4.A) Ricavi per prestazioni sanitarie e sociosanitarie a rilevanza sanitaria erogate a soggetti pubblici</t>
  </si>
  <si>
    <t>A.4.A.1) Ricavi per prestaz. sanitarie e sociosanitarie a rilevanza sanitaria erogate ad Aziende sanitarie pubbliche della Regione</t>
  </si>
  <si>
    <t>Rimborso per prestazioni fatturate in regime di ricovero - Az. sanitarie pubb. della Regione</t>
  </si>
  <si>
    <t>Rimborso per prestazioni ambulatoriali e diagnostiche fatturate  - Az. sanitarie pubb. della Regione</t>
  </si>
  <si>
    <t>Prestazioni di pronto soccorso non seguite da ricovero - Az. sanitarie pubb. della Regione</t>
  </si>
  <si>
    <t>Prestazioni di psichiatria residenziale e semiresidenziale - Az. sanitarie pubb. della Regione</t>
  </si>
  <si>
    <t>Prestazioni di File F  - Az. sanitarie pubb. della Regione</t>
  </si>
  <si>
    <t>Prestazioni servizi MMG, PLS, Contin. Assistenziale  - Az. sanitarie pubb. della Regione</t>
  </si>
  <si>
    <t>Prestazioni servizi farmaceutica convenzionata  - Az. sanitarie pubb. della Regione</t>
  </si>
  <si>
    <t>Prestazioni termali  - Az. sanitarie pubb. della Regione</t>
  </si>
  <si>
    <t>Prestazioni trasporto ambulanze ed elisoccorso - Az. sanitarie pubb. della Regione</t>
  </si>
  <si>
    <t>Prestazioni assistenza integrativa - Az. sanitarie pubb. della Regione</t>
  </si>
  <si>
    <t>Prestazioni assistenza protesica - Az. sanitarie pubb. della Regione</t>
  </si>
  <si>
    <t>Prestazioni assistenza riabilitativa extraospedaliera - Az. sanitarie pubb. della Regione</t>
  </si>
  <si>
    <t>Ricavi per cessione di emocomponenti e cellule staminali - Az. sanitarie pubb. della Regione</t>
  </si>
  <si>
    <t>Prestazioni assistenza domiciliare integrata (ADI) - Az. sanitarie pubb. della Regione</t>
  </si>
  <si>
    <t>Consulenze sanitarie  - Az. sanitarie pubb. della Regione</t>
  </si>
  <si>
    <t>Altre prestazioni sanitarie e socio-sanitarie a rilevanza sanitaria  - Az. sanitarie pubb. della Regione</t>
  </si>
  <si>
    <t>A.4.A.2) Ricavi per prestaz. sanitarie e sociosanitarie a rilevanza sanitaria erogate ad altri soggetti pubblici</t>
  </si>
  <si>
    <t>Prestazioni di pronto soccorso non seguite da ricovero -  a soggetti pubblici Extraregione</t>
  </si>
  <si>
    <t>Prestazioni di psichiatria ad extraregione non soggetta a compensazione (resid. e semiresid.)</t>
  </si>
  <si>
    <t>Prestazioni di File F - a soggetti pubblici Extraregione</t>
  </si>
  <si>
    <t>8</t>
  </si>
  <si>
    <t>Consulenze sanitarie a compensazione Extraregione</t>
  </si>
  <si>
    <t>Rimborso per prestazioni fatturate in regime di ricovero extraregione</t>
  </si>
  <si>
    <t>Rimborso per prestazioni ambulatoriali e diagnostiche fatturate extraregione</t>
  </si>
  <si>
    <t>A.4.B) Ricavi per prestazioni sanitarie e sociosanitarie a rilevanza sanitaria erogate da privati v/residenti Extraregione in compensazione (mobilità attiva)</t>
  </si>
  <si>
    <t>A.4.B.1) Prestazioni di ricovero da priv. Extraregione in compensazione (mobilità attiva)</t>
  </si>
  <si>
    <t>A.4.B.2) Prestazioni ambulatoriali da priv. Extraregione in compensazione (mobilità attiva)</t>
  </si>
  <si>
    <t>A.4.B.3)  Prestazioni di pronto soccorso non seguite da ricovero da priv. Extraregione in compensazione  (mobilità attiva)</t>
  </si>
  <si>
    <t>Prestazioni di pronto soccorso non seguite da ricovero da priv. Extraregione in compensazione (mobilità attiva)</t>
  </si>
  <si>
    <t>A.4.B.4) Prestazioni di File F da priv. Extraregione in compensazione (mobilità attiva)</t>
  </si>
  <si>
    <t>A.4.C) Ricavi per prestazioni sanitarie e sociosanitarie a rilevanza sanitaria erogate a privati</t>
  </si>
  <si>
    <t>Prestazioni amministrative e gestionali a privati</t>
  </si>
  <si>
    <t>A.4.D) Ricavi per prestazioni sanitarie erogate in regime di intramoenia</t>
  </si>
  <si>
    <t>A.4.D.1) Ricavi per prestazioni sanitarie intramoenia - Area ospedaliera</t>
  </si>
  <si>
    <t>A.4.D.2) Ricavi per prestazioni sanitarie intramoenia - Area specialistica</t>
  </si>
  <si>
    <t>A.4.D.3) Ricavi per prestazioni sanitarie intramoenia - Area sanità pubblica</t>
  </si>
  <si>
    <t>A.4.D.4) Ricavi per prestazioni sanitarie intramoenia - Consulenze (ex art. 55 c.1 lett. c), d) ed ex art. 57-58)</t>
  </si>
  <si>
    <t>A.4.D.5) Ricavi per prestazioni sanitarie intramoenia - Consulenze (ex art. 55 c.1 lett. c), d) ed ex art. 57-58) (Aziende sanitarie pubbliche della Regione)</t>
  </si>
  <si>
    <t>A.4.D.6) Ricavi per prestazioni sanitarie intramoenia - Altro</t>
  </si>
  <si>
    <t>A.4.D.7) Ricavi per prestazioni sanitarie intramoenia - Altro (Aziende sanitarie pubbliche della Regione)</t>
  </si>
  <si>
    <t>Prestazioni amministrative e gestionali - Az. sanitarie pubb. della Regione</t>
  </si>
  <si>
    <t>Consulenze non sanitarie  - Az. sanitarie pubb. della Regione</t>
  </si>
  <si>
    <t>Altri concorsi, recuperi e rimborsi  - Az. sanitarie pubb. della Regione</t>
  </si>
  <si>
    <t>A.6) Compartecipazione alla spesa per prestazioni sanitarie (Ticket)</t>
  </si>
  <si>
    <t>A.6.A) Compartecipazione alla spesa per prestazioni sanitarie - Ticket sulle prestazioni di specialistica ambulatoriale</t>
  </si>
  <si>
    <t>A.6.B) Compartecipazione alla spesa per prestazioni sanitarie - Ticket sul pronto soccorso</t>
  </si>
  <si>
    <t>A.6.C) Compartecipazione alla spesa per prestazioni sanitarie (Ticket) - Altro</t>
  </si>
  <si>
    <t>A.7) Quota contributi c/capitale imputata all'esercizio</t>
  </si>
  <si>
    <t>A.7.B) Quota imputata all'esercizio dei finanziamenti per investimenti da Regione</t>
  </si>
  <si>
    <t>A.7.C) Quota imputata all'esercizio dei finanziamenti per beni di prima dotazione</t>
  </si>
  <si>
    <t>A.8) Incrementi delle immobilizzazioni per lavori interni</t>
  </si>
  <si>
    <t>CONTO</t>
  </si>
  <si>
    <t>BA0000</t>
  </si>
  <si>
    <t>B) Costi della produzione</t>
  </si>
  <si>
    <t>B.1) Acquisti di beni</t>
  </si>
  <si>
    <t>B.1.A) Acquisti di beni sanitari</t>
  </si>
  <si>
    <t>B.1.A.1) Prodotti farmaceutici ed emoderivati</t>
  </si>
  <si>
    <t>B.1.A.1.1) Medicinali con AIC, ad eccezione di vaccini ed emoderivati di produzione regionale</t>
  </si>
  <si>
    <t>B.1.A.1.4.2) Emoderivati di produzione regionale da pubblico (Aziende sanitarie pubbliche extra Regione) - Mobilità extraregionale</t>
  </si>
  <si>
    <t>B.1.A.2) Sangue ed emocomponenti</t>
  </si>
  <si>
    <t>Sangue e emocomp. da pubblico (Aziende sanitarie pubbliche della Regione) – Mobilità intraregionale</t>
  </si>
  <si>
    <t>Sangue e emocomp. da pubblico (Aziende sanitarie pubbliche extra Regione) – Mobilità extraregionale</t>
  </si>
  <si>
    <t>B.1.A.3.1) Dispositivi medici</t>
  </si>
  <si>
    <t>B.1.A.3.2) Dispositivi medici impiantabili attivi</t>
  </si>
  <si>
    <t>B.1.A.3.3) Dispositivi medico diagnostici in vitro (IVD)</t>
  </si>
  <si>
    <t>B.1.A.4) Prodotti dietetici</t>
  </si>
  <si>
    <t>B.1.A.5) Materiali per la profilassi (vaccini)</t>
  </si>
  <si>
    <t>B.1.A.6) Prodotti chimici</t>
  </si>
  <si>
    <t>B.1.A.7) Materiali e prodotti per uso veterinario</t>
  </si>
  <si>
    <t>B.1.A.8) Altri beni e prodotti sanitari</t>
  </si>
  <si>
    <t>B.1.A.9) Beni e prodotti sanitari da Aziende sanitarie pubbliche della Regione</t>
  </si>
  <si>
    <t>Medicinali con AIC, ad eccezione di vaccini ed emoderivati di produzione regionale  - Az. sanitarie pubb. della Regione</t>
  </si>
  <si>
    <t>Medicinali senza AIC - Az. sanitarie pubb. della Regione</t>
  </si>
  <si>
    <t>Emoderivati di produzione regionale - Az. sanitarie pubb. della Regione</t>
  </si>
  <si>
    <t>Dispositivi medici  - Az. sanitarie pubb. della Regione</t>
  </si>
  <si>
    <t>Dispositivi medici impiantabili attivi - Az. sanitarie pubb. della Regione</t>
  </si>
  <si>
    <t>Dispositivi medico diagnostici in vitro (IVD) - Az. sanitarie pubb. della Regione</t>
  </si>
  <si>
    <t>Prodotti dietetici - Az. sanitarie pubb. della Regione</t>
  </si>
  <si>
    <t>Materiali per la profilassi (vaccini) - Az. sanitarie pubb. della Regione</t>
  </si>
  <si>
    <t>Prodotti chimici - Az. sanitarie pubb. della Regione</t>
  </si>
  <si>
    <t>Materiali e prodotti per uso veterinario - Az. sanitarie pubb. della Regione</t>
  </si>
  <si>
    <t>Altri beni e prodotti sanitari  - Az. sanitarie pubb. della Regione</t>
  </si>
  <si>
    <t>B.1.B) Acquisti di beni non sanitari</t>
  </si>
  <si>
    <t>B.1.B.1) Prodotti alimentari</t>
  </si>
  <si>
    <t>B.1.B.2) Materiali di guardaroba, di pulizia e di convivenza in genere</t>
  </si>
  <si>
    <t>B.1.B.3) Combustibili, carburanti e lubrificanti</t>
  </si>
  <si>
    <t>B.1.B.4) Supporti informatici e cancelleria</t>
  </si>
  <si>
    <t>B.1.B.5) Materiale per la manutenzione</t>
  </si>
  <si>
    <t>B.1.B.6) Altri beni e prodotti non sanitari</t>
  </si>
  <si>
    <t>B.1.B.7) Beni e prodotti non sanitari da Aziende sanitarie pubbliche della Regione</t>
  </si>
  <si>
    <t>Prodotti alimentari - Az. sanitarie pubb. della Regione</t>
  </si>
  <si>
    <t>Materiali di guardaroba, di pulizia e di convivenza in genere - Az. sanitarie pubb. della Regione</t>
  </si>
  <si>
    <t>Combustibili, carburanti e lubrificanti - Az. sanitarie pubb. della Regione</t>
  </si>
  <si>
    <t>Supporti informatici e cancelleria - Az. sanitarie pubb. della Regione</t>
  </si>
  <si>
    <t>Materiale per la manutenzione - Az. sanitarie pubb. della Regione</t>
  </si>
  <si>
    <t>Altri beni e prodotti non sanitari  - Az. sanitarie pubb. della Regione</t>
  </si>
  <si>
    <t>B.2) Acquisti di servizi</t>
  </si>
  <si>
    <t>B.2.A) Acquisti servizi sanitari</t>
  </si>
  <si>
    <t>B.2.A.1) Acquisti servizi sanitari per medicina di base</t>
  </si>
  <si>
    <t>Quota capitaria nazionale MMG</t>
  </si>
  <si>
    <t>Compensi da fondo ponderazione MMG</t>
  </si>
  <si>
    <t>Compensi da fondo qualità dell'assistenza MMG</t>
  </si>
  <si>
    <t>Compensi da fondo quota capitaria regionale MMG</t>
  </si>
  <si>
    <t>Compensi extra derivanti da accordi nazionali MMG</t>
  </si>
  <si>
    <t>Compensi da accordi regionali MMG</t>
  </si>
  <si>
    <t>Compensi da accordi aziendali MMG</t>
  </si>
  <si>
    <t>Premi assicurativi malattia MMG</t>
  </si>
  <si>
    <t>Formazione MMG</t>
  </si>
  <si>
    <t>Altre competenze MMG</t>
  </si>
  <si>
    <t>Oneri sociali MMG</t>
  </si>
  <si>
    <t>Quota capitaria nazionale PLS</t>
  </si>
  <si>
    <t>Compensi da fondo ponderazione PLS</t>
  </si>
  <si>
    <t>Compensi da fondo qualità dell'assistenza PLS</t>
  </si>
  <si>
    <t>Compensi da fondo quota capitaria regionale PLS</t>
  </si>
  <si>
    <t>Compensi extra derivanti da accordi nazionali PLS</t>
  </si>
  <si>
    <t>Compensi da accordi regionali PLS</t>
  </si>
  <si>
    <t>Compensi da accordi aziendali PLS</t>
  </si>
  <si>
    <t>Premi assicurativi malattia PLS</t>
  </si>
  <si>
    <t>Formazione PLS</t>
  </si>
  <si>
    <t>Altre competenze PLS</t>
  </si>
  <si>
    <t>Oneri sociali PLS</t>
  </si>
  <si>
    <t xml:space="preserve">Altri compensi Conv. per emergenza sanitaria territoriale </t>
  </si>
  <si>
    <t>Compensi fissi altro personale sanitario convenzionato</t>
  </si>
  <si>
    <t>Compensi da fondo ponderazione altro personale sanitario convenzionato</t>
  </si>
  <si>
    <t>Compensi extra derivanti da accordi nazionali altro personale sanitario convenzionato</t>
  </si>
  <si>
    <t>Compensi da accordi regionali altro personale sanitario convenzionato</t>
  </si>
  <si>
    <t>Compensi da accordi aziendali altro personale sanitario convenzionato</t>
  </si>
  <si>
    <t>Altre competenze altro personale sanitario convenzionato</t>
  </si>
  <si>
    <t>Oneri sociali altro personale sanitario convenzionato</t>
  </si>
  <si>
    <t>Servizi sanitari per medicina di base da pubblico (Aziende sanitarie pubbliche della Regione) - Mobilità intraregionale</t>
  </si>
  <si>
    <t>Servizi sanitari per medicina di base da pubblico (Aziende sanitarie pubbliche Extraregione) - Mobilità extraregionale</t>
  </si>
  <si>
    <t>B.2.A.2) Acquisti servizi sanitari per farmaceutica</t>
  </si>
  <si>
    <t>Servizi sanitari per farmaceutica da pubblico (Aziende sanitarie pubbliche della Regione)- Mobilità intraregionale</t>
  </si>
  <si>
    <t>Servizi sanitari per farmaceuticada pubblico (Extraregione)</t>
  </si>
  <si>
    <t>B.2.A.3) Acquisti servizi sanitari per assistenza specialistica ambulatoriale</t>
  </si>
  <si>
    <t>B.2.A.3.2) Prestazioni di pronto soccorso non seguite da ricovero - da pubblico (Aziende sanitarie pubbliche della Regione)</t>
  </si>
  <si>
    <t>B.2.A.3.3) - da pubblico (altri soggetti pubbl. della Regione), ad eccezione delle somministrazionidi farmaci e dispositivi ad alto costoin trattamento</t>
  </si>
  <si>
    <t>Servizi sanitari per assistenza specialistica ambulatoriale da pubblico (altri soggetti pubbl. della Regione)</t>
  </si>
  <si>
    <t>B.2.A.3.4) Prestazioni di pronto soccorso non seguite da ricovero - da pubblico (altri soggetti pubbl. della Regione)</t>
  </si>
  <si>
    <t>B.2.A.3.6) - Prestazioni di pronto soccorso non seguite da ricovero - da pubblico (Extraregione)</t>
  </si>
  <si>
    <t>Compensi fissi medici SUMAI</t>
  </si>
  <si>
    <t>Compendi da fondo ponderazione medici SUMAI</t>
  </si>
  <si>
    <t>Compensi extra derivanti da accordi nazionali medici SUMAI</t>
  </si>
  <si>
    <t>Compensi da accordi regionali medici SUMAI</t>
  </si>
  <si>
    <t>Compensi da accordi aziendali medici SUMAI</t>
  </si>
  <si>
    <t>Altre competenze medici SUMAI</t>
  </si>
  <si>
    <t>Oneri sociali medici SUMAI</t>
  </si>
  <si>
    <t>B.2.A.3.8.B) Servizi sanitari per prestazioni di pronto soccorso non seguite da ricovero da IRCCS privati e Policlinici privati</t>
  </si>
  <si>
    <t>Servizi sanitari per prestazioni di pronto soccorso non seguite da ricovero - da IRCCS privati e Policlinici privati</t>
  </si>
  <si>
    <t>B.2.A.3.8.D) Servizi sanitari per prestazioni di pronto soccorso non seguite da ricovero da Ospedali Classificati privati</t>
  </si>
  <si>
    <t>B.2.A.3.8.F) Servizi sanitari per prestazioni di pronto soccorso non seguite da ricovero da Case di Cura private</t>
  </si>
  <si>
    <t>B.2.A.3.8.H) Servizi sanitari per prestazioni di pronto soccorso non seguite da ricovero da altri privati</t>
  </si>
  <si>
    <t>Servizi sanitari per ass. spec. ambulatoriale da privato per cittadini non residenti - Extraregione (mobilità attiva in compensazione)</t>
  </si>
  <si>
    <t>B.2.A.3.10) - Servizi sanitari per prestazioni di pronto soccorso non seguite da ricovero - da privato per cittadini non residenti - Extraregione (mobilità attiva in compensazione)</t>
  </si>
  <si>
    <t>B.2.A.4) Acquisti servizi sanitari per assistenza riabilitativa</t>
  </si>
  <si>
    <t>Servizi sanitari per assistenza riabilitativa da pubblico (Aziende sanitarie pubbliche della Regione)</t>
  </si>
  <si>
    <t>Servizi sanitari per assistenza riabilitativa da pubblico (altri soggetti pubbl. della Regione)</t>
  </si>
  <si>
    <t>Servizi sanitari per assistenza riabilitativada pubblico (Extraregione) non soggetti a compensazione</t>
  </si>
  <si>
    <t>Assistenza riabilitativa ex art.26 L.833/78 - in regime di ricovero da privato (intraregionale)</t>
  </si>
  <si>
    <t>Assistenza riabilitativa ex art.26 L.833/78 - in regime ambulatoriale da privato (intraregionale)</t>
  </si>
  <si>
    <t>Assistenza riabilitativa ex art.26 L.833/78 - in regime di ricovero da privato (extraregionale)</t>
  </si>
  <si>
    <t>Assistenza riabilitativa ex art.26 L.833/78 - in regime ambulatoriale da privato (extraregionale)</t>
  </si>
  <si>
    <t>B.2.A.5) Acquisti servizi sanitari per assistenza integrativa</t>
  </si>
  <si>
    <t>Servizi sanitari per assistenza integrativa da pubblico (Aziende sanitarie pubbliche della Regione)</t>
  </si>
  <si>
    <t>Servizi sanitari per assistenza integrativa da pubblico (altri soggetti pubbl. della Regione)</t>
  </si>
  <si>
    <t>Servizi sanitari per assistenza integrativa da pubblico (Extraregione)</t>
  </si>
  <si>
    <t>B.2.A.6) Acquisti servizi sanitari per assistenza protesica</t>
  </si>
  <si>
    <t>Servizi sanitari per assistenza protesica da pubblico (Aziende sanitarie pubbliche della Regione)</t>
  </si>
  <si>
    <t>Servizi sanitari per assistenza protesica da pubblico (altri soggetti pubbl. della Regione)</t>
  </si>
  <si>
    <t>Servizi sanitari per assistenza protesica da pubblico (Extraregione)</t>
  </si>
  <si>
    <t>B.2.A.7) Acquisti servizi sanitari per assistenza ospedaliera</t>
  </si>
  <si>
    <t>Acquisto di prestazioni in regime di ricovero (DRG) da pubblico (altri soggetti pubbl. della Regione)</t>
  </si>
  <si>
    <t>Servizi sanitari per ass. osped. da privato per cittadini non residenti - Extraregione (mobilità attiva in compensazione)</t>
  </si>
  <si>
    <t>B.2.A.8) Acquisto prestazioni di psichiatria residenziale e semiresidenziale</t>
  </si>
  <si>
    <t>Prestazioni di psichiatria resid. e semiresid. da pubblico (Aziende sanitarie pubbliche della Regione)</t>
  </si>
  <si>
    <t>Prestazioni di psichiatria resid. e semiresid. da pubblico (altri soggetti pubbl. della Regione)</t>
  </si>
  <si>
    <t>Prestazioni di psichiatria resid. e semiresid. da pubblico (Extraregione) - non soggette a compensazione</t>
  </si>
  <si>
    <t>Prestazioni di psichiatria resid. e semiresid. da privato (intraregionale)</t>
  </si>
  <si>
    <t>Prestazioni di psichiatria resid. e semiresid.  da privato (extraregionale)</t>
  </si>
  <si>
    <t>B.2.A.9) Acquisto prestazioni di distribuzione farmaci File F</t>
  </si>
  <si>
    <t>Prestazioni di distribuzione farmaci File F da pubblico (altri soggetti pubbl. della Regione)</t>
  </si>
  <si>
    <t>Prestazioni di distribuzione farmaci File F da pubblico (Extraregione)</t>
  </si>
  <si>
    <t>Prestazioni di distribuzione farmaci File F da privato (extraregionale)</t>
  </si>
  <si>
    <t>Prestazioni di distribuzione farmaci File F da privato per cittadini non residenti - Extraregione (mobilità attiva in compensazione)</t>
  </si>
  <si>
    <t>B.2.A.10) Acquisto prestazioni termali in convenzione</t>
  </si>
  <si>
    <t>Prestazioni termali in convenzione da pubblico (Aziende sanitarie pubbliche della Regione) - Mobilità intraregionale</t>
  </si>
  <si>
    <t>Prestazioni termali in convenzione da pubblico (altri soggetti pubbl. della Regione)</t>
  </si>
  <si>
    <t>Prestazioni termali in convenzione da pubblico (Extraregione)</t>
  </si>
  <si>
    <t>Prestazioni termali in convenzione da privato</t>
  </si>
  <si>
    <t>Prestazioni termali in convenzione da privato per cittadini non residenti - Extraregione (mobilità attiva in compensazione)</t>
  </si>
  <si>
    <t>B.2.A.11) Acquisto prestazioni di trasporto sanitario</t>
  </si>
  <si>
    <t>Prestazioni di trasporto sanitario da pubblico (Aziende sanitarie pubbliche della Regione) - Mobilità intraregionale</t>
  </si>
  <si>
    <t>Prestazioni di trasporto sanitario da pubblico (altri soggetti pubbl. della Regione)</t>
  </si>
  <si>
    <t>Prestazioni di trasporto sanitario da pubblico (Extraregione)</t>
  </si>
  <si>
    <t>B.2.A.12) Acquisto prestazioni Socio-Sanitarie a rilevanza sanitaria</t>
  </si>
  <si>
    <t>B.2.A.12.1.A) Assistenza domiciliare integrata</t>
  </si>
  <si>
    <t>Altre prestazioni socio-sanitarie a rilevanza sanitaria</t>
  </si>
  <si>
    <t>RSA esterne (altri soggetti pubblici della Regione)</t>
  </si>
  <si>
    <t>Rimborso per ass. san. in strutture resid. e semi resid. per anziani (altri soggetti pubblici della Regione)</t>
  </si>
  <si>
    <t>Abbattimento rette anziani non autosufficienti (altri soggetti pubblici della Regione)</t>
  </si>
  <si>
    <t>Acquisto di Altre prestazioni sociosanitarie a rilevanza sanitaria erogate a soggetti pubblici Extraregione  - da pubblico  (Extraregione)</t>
  </si>
  <si>
    <t>Acquisto di Altre prestazioni sociosanitarie a rilevanza sanitaria erogate a soggetti pubblici (Extraregione) non soggette a compensazione</t>
  </si>
  <si>
    <t>Assist. riabilitativa residenziale e integrativa territoriale per tossicodipendenti da privato (intraregionale)</t>
  </si>
  <si>
    <t>Assist. riabilitativa residenziale e integrativa territoriale per tossicodipendenti da privato (extraregionale)</t>
  </si>
  <si>
    <t>B.2.A.13) Compartecipazione al personale per att. libero-prof. (intramoenia)</t>
  </si>
  <si>
    <t>B.2.A.13.1) Compartecipazione al personale per att. libero professionale intramoenia - Area ospedaliera</t>
  </si>
  <si>
    <t>B.2.A.13.2) Compartecipazione al personale per att. libero professionale intramoenia- Area specialistica</t>
  </si>
  <si>
    <t>B.2.A.13.3) Compartecipazione al personale per att. libero professionale intramoenia - Area sanità pubblica</t>
  </si>
  <si>
    <t>B.2.A.13.4) Compartecipazione al personale per att. libero professionale intramoenia - Consulenze (ex art. 55 c.1 lett. c), d) ed ex Art. 57-58)</t>
  </si>
  <si>
    <t>Oneri su compartecipazione al  personale Dirigenza  med-vet-san. e delle prof. sanitarie per att. libero  professionale intramoenia - Altro</t>
  </si>
  <si>
    <t>B.2.A.13.5) Compartecipazione al personale per att. libero professionale intramoenia - Consulenze (ex art. 55 c.1 lett. c), d) ed ex Art. 57-58) (Aziende sanitarie pubbliche della Regione)</t>
  </si>
  <si>
    <t>Consulenze a favore di terzi, rimborsate Dirigenza medica e veterinaria (Aziende sanitarie pubbliche della Regione)</t>
  </si>
  <si>
    <t>Consulenze a favore di terzi, rimborsate Dirigenza sanitaria e delle professioni sanitarie (Aziende sanitarie pubbliche della Regione)</t>
  </si>
  <si>
    <t>Consulenze a favore di terzi, rimborsate Dirigenza medica universitaria (Aziende sanitarie pubbliche della Regione)</t>
  </si>
  <si>
    <t>Oneri su compart. al  personale Dirigenza  med-vet-san. e delle prof. sani. per att. libero  professionale intramoenia - Altro (Aziende sanitarie pubbliche della Regione)</t>
  </si>
  <si>
    <t>B.2.A.13.6) Compartecipazione al personale per att. libero professionale intramoenia - Altro</t>
  </si>
  <si>
    <t>Consulenze a favore di terzi, rimborsate Dirigenza ruolo tecnico</t>
  </si>
  <si>
    <t>Consulenze a favore di terzi, rimborsate Dirigenza ruolo amministrativo</t>
  </si>
  <si>
    <t>Consulenze a favore di terzi, rimborsate Comparto ruolo amministrativo</t>
  </si>
  <si>
    <t>B.2.A.13.7) Compartecipazione al personale per att. libero professionale intramoenia - Altro (Aziende sanitarie pubbliche della Regione)</t>
  </si>
  <si>
    <t>Consulenze a favore di terzi, rimborsate Dirigenza ruolo professionale  (Aziende sanitarie pubbliche della Regione)</t>
  </si>
  <si>
    <t>Consulenze a favore di terzi, rimborsate Dirigenza ruolo tecnico  (Aziende sanitarie pubbliche della Regione)</t>
  </si>
  <si>
    <t>Consulenze a favore di terzi, rimborsate Dirigenza ruolo amministrativo  (Aziende sanitarie pubbliche della Regione)</t>
  </si>
  <si>
    <t>Consulenze a favore di terzi, rimborsate Comparto ruolo sanitario (Aziende sanitarie pubbliche della Regione)</t>
  </si>
  <si>
    <t>Consulenze a favore di terzi, rimborsate Comparto ruolo professionale (Aziende sanitarie pubbliche della Regione)</t>
  </si>
  <si>
    <t>Consulenze a favore di terzi, rimborsate Comparto ruolo tecnico (Aziende sanitarie pubbliche della Regione)</t>
  </si>
  <si>
    <t>Consulenze a favore di terzi, rimborsate Comparto ruolo amministrativo (Aziende sanitarie pubbliche della Regione)</t>
  </si>
  <si>
    <t>B.2.A.14) Rimborsi, assegni e contributi sanitari</t>
  </si>
  <si>
    <t>B.2.A.14.1) Contributi ad associazioni di volontariato</t>
  </si>
  <si>
    <t>B.2.A.14.2) Rimborsi per cure all'estero</t>
  </si>
  <si>
    <t>B.2.A.14.3) Contributi a società partecipate e/o enti dipendenti della Regione</t>
  </si>
  <si>
    <t>B.2.A.14.4) Contributo Legge 210/92</t>
  </si>
  <si>
    <t>B.2.A.14.5) Altri rimborsi, assegni e contributi</t>
  </si>
  <si>
    <t>B.2.A.14.6) Rimborsi, assegni e contributi v/Aziende sanitarie pubbliche della Regione</t>
  </si>
  <si>
    <t>B.2.A.15) Consulenze, Collaborazioni, Interinale e altre prestazioni di lavoro sanitarie e sociosanitarie</t>
  </si>
  <si>
    <t>B.2.A.15.1) Consulenze sanitarie e sociosan. da Aziende sanitarie pubbliche della Regione</t>
  </si>
  <si>
    <t>B.2.A.15.2) Consulenze sanitarie e sociosanit. da terzi - Altri soggetti pubblici</t>
  </si>
  <si>
    <t>B.2.A.15.3) Consulenze, Collaborazioni, Interinale e altre prestazioni di lavoro sanitarie e socios. da privato</t>
  </si>
  <si>
    <t>B.2.A.15.3.C) Collaborazioni coordinate e continuative sanitarie e socios. da privato</t>
  </si>
  <si>
    <t>B.2.A.15.3.D) Indennità a personale universitario - area sanitaria</t>
  </si>
  <si>
    <t xml:space="preserve">Indennità personale sanitario universitario </t>
  </si>
  <si>
    <t xml:space="preserve">Retribuzione di risultato personale sanitario universitario </t>
  </si>
  <si>
    <t xml:space="preserve">Condizioni di lavoro personale personale sanitario universitario </t>
  </si>
  <si>
    <t>Altri compensi personale sanitario universitario</t>
  </si>
  <si>
    <t xml:space="preserve">Oneri sociali personale sanitario universitario </t>
  </si>
  <si>
    <t>B.2.A.15.3.E) Lavoro interinale - area sanitaria</t>
  </si>
  <si>
    <t>Lavoro interinale - area sanitaria</t>
  </si>
  <si>
    <t>B.2.A.15.3.F) Altre collaborazioni e prestazioni di lavoro - area sanitaria</t>
  </si>
  <si>
    <t>Oneri sociali su altre collaborazioni e prestazioni di lavoro - area sanitaria</t>
  </si>
  <si>
    <t>B.2.A.16.1) Altri servizi sanitari e sociosanitari a rilevanza sanitaria da pubblico - Aziende sanitarie pubbliche della Regione</t>
  </si>
  <si>
    <t>B.2.A.16.2) Altri servizi sanitari e sociosanitari a rilevanza sanitaria da pubblico - Altri soggetti pubblici della Regione</t>
  </si>
  <si>
    <t>B.2.A.16.4) Altri servizi sanitari da privato</t>
  </si>
  <si>
    <t>B.2.A.16.5) Costi per servizi sanitari - Mobilità internazionale passiva</t>
  </si>
  <si>
    <t>B.2.A.16.7)   Costi per prestazioni sanitarie erogate da aziende sanitarie estere (fatturate direttamente)</t>
  </si>
  <si>
    <t>B.2.B.1) Servizi non sanitari</t>
  </si>
  <si>
    <t>B.2.B.1.1) Lavanderia</t>
  </si>
  <si>
    <t>B.2.B.1.2) Pulizia</t>
  </si>
  <si>
    <t>B.2.B.1.3) Mensa</t>
  </si>
  <si>
    <t>B.2.B.1.4) Riscaldamento</t>
  </si>
  <si>
    <t>B.2.B.1.5) Servizi di assistenza informatica</t>
  </si>
  <si>
    <t>B.2.B.1.6) Servizi trasporti (non sanitari)</t>
  </si>
  <si>
    <t>B.2.B.1.7) Smaltimento rifiuti</t>
  </si>
  <si>
    <t>B.2.B.1.8) Utenze telefoniche</t>
  </si>
  <si>
    <t>B.2.B.1.9) Utenze elettricità</t>
  </si>
  <si>
    <t>B.2.B.1.10) Altre utenze</t>
  </si>
  <si>
    <t>B.2.B.1.11) Premi di assicurazione</t>
  </si>
  <si>
    <t>B.2.B.1.11.A) Premi di assicurazione - R.C. Professionale</t>
  </si>
  <si>
    <t>Premi di assicurazione - R.C. Professionale</t>
  </si>
  <si>
    <t>B.2.B.1.11.B) Premi di assicurazione - Altri premi assicurativi</t>
  </si>
  <si>
    <t>B.2.B.2) Consulenze, Collaborazioni, Interinale e altre prestazioni di lavoro non sanitarie</t>
  </si>
  <si>
    <t>B.2.B.2.3.C) Indennità a personale universitario - area non sanitaria</t>
  </si>
  <si>
    <t>Indennità a personale universitario - area non sanitaria</t>
  </si>
  <si>
    <t>B.2.B.2.3.D) Lavoro interinale - area non sanitaria</t>
  </si>
  <si>
    <t>Lavoro interinale - area non sanitaria</t>
  </si>
  <si>
    <t>B.2.B.2.3.E) Altre collaborazioni e prestazioni di lavoro - area non sanitaria</t>
  </si>
  <si>
    <t>Altre collaborazioni e prestazioni di lavoro - area non sanitaria</t>
  </si>
  <si>
    <t>B.2.B.2.3.F) Altre Consulenze non sanitarie da privato - in attuazione dell'art.79, comma 1 sexies lettera c), del D.L. 112/2008, convertito con legge 133/2008 e della legge 23 dicembre 2009 n. 191.</t>
  </si>
  <si>
    <t>Altre Consulenze non sanitarie da privato - in attuazione dell'art.79, comma 1 sexies lettera c), del D.L. 112/2008, convertito con legge 133/2008 e della legge 23 dicembre 2009 n. 191.</t>
  </si>
  <si>
    <t>B.3) Manutenzione e riparazione (ordinaria esternalizzata)</t>
  </si>
  <si>
    <t>B.3.A) Manutenzione e riparazione ai fabbricati e loro pertinenze</t>
  </si>
  <si>
    <t>B.3.B) Manutenzione e riparazione agli impianti e macchinari</t>
  </si>
  <si>
    <t>B.3.C) Manutenzione e riparazione alle attrezzature sanitarie e scientifiche</t>
  </si>
  <si>
    <t>B.3.D) Manutenzione e riparazione ai mobili e arredi</t>
  </si>
  <si>
    <t>B.3.E) Manutenzione e riparazione agli automezzi</t>
  </si>
  <si>
    <t>B.3.F) Altre manutenzioni e riparazioni</t>
  </si>
  <si>
    <t>B.3.G) Manutenzioni e riparazioni da Aziende sanitarie pubbliche della Regione</t>
  </si>
  <si>
    <t>B.4) Godimento di beni di terzi</t>
  </si>
  <si>
    <t>B.4.A) Fitti passivi</t>
  </si>
  <si>
    <t>B.4.B) Canoni di noleggio</t>
  </si>
  <si>
    <t>B.4.C) Canoni di leasing</t>
  </si>
  <si>
    <t>Canoni di leasing operativo  - area sanitaria</t>
  </si>
  <si>
    <t>Canoni di leasing finanziario  - area sanitaria</t>
  </si>
  <si>
    <t>Canoni di leasing operativo - area non sanitaria</t>
  </si>
  <si>
    <t>Canoni di leasing finanziario - area non sanitaria</t>
  </si>
  <si>
    <t>B.5) Personale del ruolo sanitario</t>
  </si>
  <si>
    <t>Voci di costo a carattere stipendiale - personale dirigente medico tempo indeterm.</t>
  </si>
  <si>
    <t>Retribuzione di posizione - personale dirigente medico tempo indeterm.</t>
  </si>
  <si>
    <t>Retribuzione di risultato - personale dirigente medico tempo indeterm.</t>
  </si>
  <si>
    <t>Condizioni di lavoro - personale dirigente medico tempo indeterm.</t>
  </si>
  <si>
    <t>Accantonamento al fondo per TFR dipendenti - personale dirigente medico tempo indeterm.</t>
  </si>
  <si>
    <t>Accantonamento ai fondi integrativi pensione - personale dirigente medico tempo indeterm.</t>
  </si>
  <si>
    <t>Altre competenze personale dirigente medico tempo indeterm.</t>
  </si>
  <si>
    <t>Oneri sociali su retribuzione - personale dirigente medico tempo indeterm.</t>
  </si>
  <si>
    <t>B.5.A.1.2) Costo del personale dirigente medico - tempo determ.</t>
  </si>
  <si>
    <t>Voci di costo a carattere stipendiale - personale dirigente medico tempo determ.</t>
  </si>
  <si>
    <t>Retribuzione di posizione - personale dirigente medico tempo determ.</t>
  </si>
  <si>
    <t>Retribuzione di risultato - personale dirigente medico tempo determ.</t>
  </si>
  <si>
    <t>Condizioni di lavoro - personale dirigente medico tempo determ.</t>
  </si>
  <si>
    <t>Accantonamento al fondo per TFR dipendenti - dirigente medico tempo determ.</t>
  </si>
  <si>
    <t>Accantonamento ai fondi integrativi pensione - dirigente medico tempo determ.</t>
  </si>
  <si>
    <t>Altre competenze personale dirigente medico tempo determ.</t>
  </si>
  <si>
    <t>Oneri sociali su retribuzione - personale dirigente medico tempo determ.</t>
  </si>
  <si>
    <t>B.5.A.2.1) Costo del personale dirigente non medico - tempo indeterm.</t>
  </si>
  <si>
    <t>Voci di costo a carattere stipendiale - personale dirigente non medico tempo indeterm.</t>
  </si>
  <si>
    <t>Retribuzione di posizione - personale dirigente non medico tempo indeterm.</t>
  </si>
  <si>
    <t>Retribuzione di risultato - personale dirigente non medico tempo indeterm.</t>
  </si>
  <si>
    <t>Condizioni di lavoro - personale dirigente non medico tempo indeterm.</t>
  </si>
  <si>
    <t>Accantonamento al fondo per TFR dipendenti - personale dirigente non medico tempo indeterm.</t>
  </si>
  <si>
    <t>Accantonamento ai fondi integrativi pensione - personale dirigente non medico tempo indeterm.</t>
  </si>
  <si>
    <t>Altre competenze personale dirigente non medico - personale dirigente non medico tempo indeterm.</t>
  </si>
  <si>
    <t>Oneri sociali su retribuzione - personale dirigente non medico tempo indeterm.</t>
  </si>
  <si>
    <t>B.5.A.2.2) Costo del personale dirigente non medico - tempo determ.</t>
  </si>
  <si>
    <t>Voci di costo a carattere stipendiale - personale dirigente non medico tempo determ.</t>
  </si>
  <si>
    <t>Retribuzione di posizione - personale dirigente non medico tempo determ.</t>
  </si>
  <si>
    <t>Retribuzione di risultato - personale dirigente non medico tempo determ.</t>
  </si>
  <si>
    <t>Condizioni di lavoro - personale dirigente non medico tempo determ.</t>
  </si>
  <si>
    <t>Accantonamento al fondo per TFR dipendenti - personale dirigente non medico tempo determ.</t>
  </si>
  <si>
    <t>Accantonamento ai fondi integrativi pensione - personale dirigente non medico tempo determ.</t>
  </si>
  <si>
    <t>Altre competenze personale dirigente non medico - personale dirigente non medico tempo determ.</t>
  </si>
  <si>
    <t>Oneri sociali su retribuzione - personale dirigente non medico tempo determ.</t>
  </si>
  <si>
    <t>Costo del personale dirigente non medico - altro</t>
  </si>
  <si>
    <t>B.5.B.1) Costo del personale comparto ruolo sanitario - tempo indeterm.</t>
  </si>
  <si>
    <t>Voci di costo a carattere stipendiale - personale comparto ruolo sanitario tempo indeterm.</t>
  </si>
  <si>
    <t>Premialità e condizioni di lavoro personale comparto ruolo sanitario tempo indeterm.</t>
  </si>
  <si>
    <t>Straordinario - personale comparto ruolo sanitario tempo indeterm.</t>
  </si>
  <si>
    <t>Condizioni di lavoro - personale comparto ruolo sanitario tempo indeterm.</t>
  </si>
  <si>
    <t>Premialità - personale comparto ruolo sanitario tempo indeterm.</t>
  </si>
  <si>
    <t>Incarichi, progressioni economiche ed indennità professionali comparto ruolo sanitario tempo indeterm.</t>
  </si>
  <si>
    <t>Incarichi - personale comparto ruolo sanitario tempo indeterm.</t>
  </si>
  <si>
    <t>Progressioni economiche - personale comparto ruolo sanitario tempo indeterm.</t>
  </si>
  <si>
    <t>Indennità professionali - personale comparto ruolo sanitario tempo indeterm.</t>
  </si>
  <si>
    <t>Accantonamento al fondo per TFR dipendenti - personale comparto ruolo sanitario tempo indeterm.</t>
  </si>
  <si>
    <t>Accantonamento ai fondi integrativi pensione - personale comparto ruolo sanitario tempo indeterm.</t>
  </si>
  <si>
    <t>Altri oneri per il personale comparto ruolo sanitario tempo indeterm.</t>
  </si>
  <si>
    <t>Oneri sociali su retribuzione - personale comparto ruolo sanitario tempo indeterm.</t>
  </si>
  <si>
    <t>B.5.B.2) Costo del personale comparto ruolo sanitario - tempo determ.</t>
  </si>
  <si>
    <t>B.5.B.2) a) Costo del personale comparto ruolo sanitario - tempo determ.</t>
  </si>
  <si>
    <t>Voci di costo a carattere stipendiale - personale comparto ruolo sanitario tempo determ.</t>
  </si>
  <si>
    <t>Premialità e condizioni di lavoro personale comparto ruolo sanitario tempo determ.</t>
  </si>
  <si>
    <t>Straordinario - personale comparto ruolo sanitario tempo determ.</t>
  </si>
  <si>
    <t>Condizioni di lavoro - personale comparto ruolo sanitario tempo determ.</t>
  </si>
  <si>
    <t>Premialità - personale comparto ruolo sanitario tempo determ.</t>
  </si>
  <si>
    <t>Incarichi, progressioni economiche ed indennità professionali comparto ruolo sanitario tempo determ.</t>
  </si>
  <si>
    <t>Incarichi - personale comparto ruolo sanitario tempo determ.</t>
  </si>
  <si>
    <t>Progressioni economiche - personale comparto ruolo sanitario tempo determ.</t>
  </si>
  <si>
    <t>Indennità professionali - personale comparto ruolo sanitario tempo determ.</t>
  </si>
  <si>
    <t>Accantonamento al fondo per TFR dipendenti - personale comparto ruolo sanitario tempo determ.</t>
  </si>
  <si>
    <t>Accantonamento ai fondi integrativi pensione - personale comparto ruolo sanitario tempo determ.</t>
  </si>
  <si>
    <t>Altri oneri per il personale comparto ruolo sanitario tempo determ.</t>
  </si>
  <si>
    <t>Oneri sociali su retribuzione - personale comparto ruolo sanitario tempo determ.</t>
  </si>
  <si>
    <t>B.5.B.2) b) Costo del personale comparto ruolo ricercatori piramide - tempo determ.</t>
  </si>
  <si>
    <t>Voci di costo a carattere stipendiale - personale comparto ruolo ricercatori piramide tempo determ.</t>
  </si>
  <si>
    <t>Premialità e condizioni di lavoro personale ruolo ricercatori piramide - tempo determ.</t>
  </si>
  <si>
    <t>Straordinario - personale comparto ruolo ricercatori  piramide tempo determ.</t>
  </si>
  <si>
    <t>Condizioni di lavoro - ruolo ricercatori piramide tempo determ.</t>
  </si>
  <si>
    <t>Premialità - ruolo ricercatori piramide tempo determ.</t>
  </si>
  <si>
    <t>Incarichi, progressioni economiche ed indennità professionali comparto ruolo ricercatori piramide tempo determ.</t>
  </si>
  <si>
    <t>Incarichi - personale ruolo ricercatori piramide tempo determ.</t>
  </si>
  <si>
    <t>Progressioni economiche - personale ruolo ricercatori piramide tempo determ.</t>
  </si>
  <si>
    <t>Indennità professionali - personale ruolo ricercatori piramide tempo determ.</t>
  </si>
  <si>
    <t>Accantonamento al fondo per TFR dipendenti - personale comparto ruolo ricercatori piramide  tempo determ.</t>
  </si>
  <si>
    <t>Accantonamento ai fondi integrativi pensione - personale comparto ruolo ricercatori piramide  tempo determ.</t>
  </si>
  <si>
    <t>Altri oneri per il personale comparto ruolo ricercatori piramide  tempo determ.</t>
  </si>
  <si>
    <t>Oneri sociali su retribuzione - personale comparto ruolo ricercatori piramide  tempo determ.</t>
  </si>
  <si>
    <t>B.5.B.2) c) Costo del personale comparto ruolo collaboratori piramide - tempo determ.</t>
  </si>
  <si>
    <t>Voci di costo a carattere stipendiale - personale comparto ruolo collaboratori piramide tempo determ.</t>
  </si>
  <si>
    <t>Premialità e condizioni di lavoro personale ruolo collaboratori piramide - tempo determ.</t>
  </si>
  <si>
    <t>Straordinario - personale comparto ruolo collaboratori  piramide tempo determ.</t>
  </si>
  <si>
    <t>Condizioni di lavoro - ruolo collaboratori piramide tempo determ.</t>
  </si>
  <si>
    <t>Premialità - ruolo collaboratori piramide tempo determ.</t>
  </si>
  <si>
    <t>Incarichi, progressioni economiche ed indennità professionali comparto ruolo collaboratori piramide tempo determ.</t>
  </si>
  <si>
    <t>Incarichi - personale ruolo collaboratori piramide tempo determ.</t>
  </si>
  <si>
    <t>Progressioni economiche - personale ruolo collaboratori piramide tempo determ.</t>
  </si>
  <si>
    <t>Indennità professionali - personale ruolo collaboratori piramide tempo determ.</t>
  </si>
  <si>
    <t>Accantonamento al fondo per TFR dipendenti - personale comparto ruolo collaboratori piramide  tempo determ.</t>
  </si>
  <si>
    <t>Accantonamento ai fondi integrativi pensione - personale comparto ruolo collaboratori piramide  tempo determ.</t>
  </si>
  <si>
    <t>Altri oneri per il personale comparto ruolo collaboratori piramide  tempo determ.</t>
  </si>
  <si>
    <t>Oneri sociali su retribuzione - personale comparto ruolo collaboratori piramide  tempo determ.</t>
  </si>
  <si>
    <t>B.6) Personale del ruolo professionale</t>
  </si>
  <si>
    <t>B.6.A.1) Costo del personale dirigente ruolo professionale - tempo indeterm.</t>
  </si>
  <si>
    <t>Voci di costo a carattere stipendiale - personale dirigente ruolo professionale tempo indeterm.</t>
  </si>
  <si>
    <t>Retribuzione di posizione - personale dirigente ruolo professionale tempo indeterm.</t>
  </si>
  <si>
    <t>Retribuzione di risultato - personale dirigente ruolo professionale tempo indeterm.</t>
  </si>
  <si>
    <t>Trattamento accessorio - personale dirigente ruolo professionale tempo indeterm.</t>
  </si>
  <si>
    <t>Accantonamento al fondo per TFR dipendenti - personale dirigente ruolo professionale tempo indeterm.</t>
  </si>
  <si>
    <t>Accantonamento ai fondi integrativi pensione - personale dirigente ruolo professionale tempo indeterm.</t>
  </si>
  <si>
    <t>Altre competenze personale dirigente ruolo professionale - personale dirigente ruolo professionale tempo indeterm.</t>
  </si>
  <si>
    <t>Oneri sociali su retribuzione - personale dirigente ruolo professionale tempo indeterm.</t>
  </si>
  <si>
    <t>B.6.A.2) Costo del personale dirigente ruolo professionale - tempo determ.</t>
  </si>
  <si>
    <t>Voci di costo a carattere stipendiale - personale dirigente ruolo professionale tempo determ.</t>
  </si>
  <si>
    <t>Retribuzione di posizione - personale dirigente ruolo professionale tempo determ.</t>
  </si>
  <si>
    <t>Retribuzione di risultato - personale dirigente ruolo professionale tempo determ.</t>
  </si>
  <si>
    <t>Trattamento accessorio - personale dirigente ruolo professionale tempo determ.</t>
  </si>
  <si>
    <t>Accantonamento al fondo per TFR dipendenti - personale dirigente ruolo professionale tempo determ.</t>
  </si>
  <si>
    <t>Accantonamento ai fondi integrativi pensione - personale dirigente ruolo professionale tempo determ.</t>
  </si>
  <si>
    <t>Altre competenze personale dirigente ruolo professionale - personale dirigente ruolo professionale tempo determ.</t>
  </si>
  <si>
    <t>Oneri sociali su retribuzione - personale dirigente ruolo professionale tempo determ.</t>
  </si>
  <si>
    <t>B.6.B.1) Costo del personale comparto ruolo professionale - tempo indeterm.</t>
  </si>
  <si>
    <t>Voci di costo a carattere stipendiale - personale comparto ruolo professionale tempo indeterm.</t>
  </si>
  <si>
    <t>Premialità e condizioni di lavoro personale comparto ruolo professionale - tempo indeterm.</t>
  </si>
  <si>
    <t>Straordinario - personale comparto ruolo professionale tempo indeterm.</t>
  </si>
  <si>
    <t>Condizioni di lavoro - comparto ruolo professionale tempo indeterm.</t>
  </si>
  <si>
    <t>Premialità - comparto ruolo professionale tempo indeterm.</t>
  </si>
  <si>
    <t>Incarichi - personale comparto ruolo professionale tempo indeterm.</t>
  </si>
  <si>
    <t>Progressioni economiche - personale comparto ruolo professionale tempo indeterm.</t>
  </si>
  <si>
    <t>Indennità professionali - personale comparto ruolo professionale tempo indeterm.</t>
  </si>
  <si>
    <t>Accantonamento al fondo per TFR dipendenti - personale comparto ruolo professionale tempo indeterm.</t>
  </si>
  <si>
    <t>Accantonamento ai fondi integrativi pensione - personale comparto ruolo professionale tempo indeterm.</t>
  </si>
  <si>
    <t>Altri oneri per il personale comparto ruolo professionale tempo indeterm.</t>
  </si>
  <si>
    <t>Oneri sociali su retribuzione - personale comparto ruolo professionale tempo indeterm.</t>
  </si>
  <si>
    <t>B.6.B.2) Costo del personale comparto ruolo professionale - tempo determ.</t>
  </si>
  <si>
    <t>Voci di costo a carattere stipendiale - personale comparto ruolo professionale tempo determ.</t>
  </si>
  <si>
    <t>Premialità e condizioni di lavoro personale comparto ruolo professionale - tempo determ.</t>
  </si>
  <si>
    <t>Straordinario - personale comparto ruolo professionale tempo determ.</t>
  </si>
  <si>
    <t>Condizioni di lavoro - comparto ruolo professionale tempo determ.</t>
  </si>
  <si>
    <t>Premialità - comparto ruolo professionale tempo determ.</t>
  </si>
  <si>
    <t>Incarichi - personale comparto ruolo professionale tempo determ.</t>
  </si>
  <si>
    <t>Progressioni economiche - personale comparto ruolo professionale tempo determ.</t>
  </si>
  <si>
    <t>Indennità professionali - personale comparto ruolo professionale tempo determ.</t>
  </si>
  <si>
    <t>Accantonamento al fondo per TFR dipendenti - personale comparto ruolo professionale tempo determ.</t>
  </si>
  <si>
    <t>Accantonamento ai fondi integrativi pensione - personale comparto ruolo professionale tempo determ.</t>
  </si>
  <si>
    <t>Altri oneri per il personale comparto ruolo professionale tempo determ.</t>
  </si>
  <si>
    <t>Oneri sociali su retribuzione - personale comparto ruolo professionale tempo determ.</t>
  </si>
  <si>
    <t>B.7) Personale del ruolo tecnico</t>
  </si>
  <si>
    <t>Voci di costo a carattere stipendiale - personale dirigente ruolo tecnico tempo indeterm.</t>
  </si>
  <si>
    <t>Retribuzione di posizione - personale dirigente ruolo tecnico tempo indeterm.</t>
  </si>
  <si>
    <t>Retribuzione di risultato - personale dirigente ruolo tecnico tempo indeterm.</t>
  </si>
  <si>
    <t>Trattamento accessorio - personale dirigente ruolo tecnico tempo indeterm.</t>
  </si>
  <si>
    <t>Accantonamento al fondo per TFR dipendenti - personale dirigente ruolo tecnico tempo indeterm.</t>
  </si>
  <si>
    <t>Accantonamento ai fondi integrativi pensione - personale dirigente ruolo tecnico tempo indeterm.</t>
  </si>
  <si>
    <t>Altre competenze personale dirigente ruolo tecnico - personale dirigente ruolo tecnico tempo indeterm.</t>
  </si>
  <si>
    <t>Oneri sociali su retribuzione - personale dirigente ruolo tecnico tempo indeterm.</t>
  </si>
  <si>
    <t>Voci di costo a carattere stipendiale - personale dirigente ruolo tecnico tempo determ.</t>
  </si>
  <si>
    <t>Retribuzione di posizione - personale dirigente ruolo tecnico tempo determ.</t>
  </si>
  <si>
    <t>Retribuzione di risultato - personale dirigente ruolo tecnico tempo determ.</t>
  </si>
  <si>
    <t>Trattamento accessorio -  personale dirigente ruolo tecnico tempo determ.</t>
  </si>
  <si>
    <t>Accantonamento al fondo per TFR dipendenti - personale dirigente ruolo tecnico tempo determ.</t>
  </si>
  <si>
    <t>Accantonamento ai fondi integrativi pensione - personale dirigente ruolo tecnico tempo determ.</t>
  </si>
  <si>
    <t>Altre competenze personale dirigente ruolo tecnico - personale dirigente ruolo tecnico tempo determ.</t>
  </si>
  <si>
    <t>Oneri sociali su retribuzione - personale dirigente ruolo tecnico tempo determ.</t>
  </si>
  <si>
    <t>B.7.B.1) a) Costo del personale comparto ruolo tecnico - tempo indeterminato</t>
  </si>
  <si>
    <t>Voci di costo a carattere stipendiale - personale comparto ruolo tecnico tempo indeterm.</t>
  </si>
  <si>
    <t>Premialità e condizioni di lavoro personale comparto ruolo tecnico - tempo indeterm.</t>
  </si>
  <si>
    <t>Straordinario - personale comparto ruolo tecnico tempo indeterm.</t>
  </si>
  <si>
    <t>Condizioni di lavoro - comparto ruolo tecnico tempo indeterm.</t>
  </si>
  <si>
    <t>Premialità - comparto ruolo tecnico tempo indeterm.</t>
  </si>
  <si>
    <t>Incarichi, progressioni economiche ed indennità professionali comparto ruolo tecnico tempo indeterm.</t>
  </si>
  <si>
    <t>Incarichi - personale comparto ruolo tecnico tempo indeterm.</t>
  </si>
  <si>
    <t>Progressioni economiche - personale comparto ruolo tecnico tempo indeterm.</t>
  </si>
  <si>
    <t>Indennità professionali - personale comparto ruolo tecnico tempo indeterm.</t>
  </si>
  <si>
    <t>Accantonamento al fondo per TFR dipendenti - personale comparto ruolo tecnico tempo indeterm.</t>
  </si>
  <si>
    <t>Accantonamento ai fondi integrativi pensione - personale comparto ruolo tecnico tempo indeterm.</t>
  </si>
  <si>
    <t>Altri oneri per il personale comparto ruolo tecnico tempo indeterm.</t>
  </si>
  <si>
    <t>Oneri sociali su retribuzione - personale comparto ruolo tecnico tempo indeterm.</t>
  </si>
  <si>
    <t>B.7.B.1) b) Costo del personale comparto ruolo sociosanitario - tempo indeterminato</t>
  </si>
  <si>
    <t>Voci di costo a carattere stipendiale - personale comparto ruolo sociosanitario tempo indeterm.</t>
  </si>
  <si>
    <t>Premialità e condizioni di lavoro personale comparto ruolo sociosanitario - tempo indeterm.</t>
  </si>
  <si>
    <t>Straordinario - personale comparto ruolo sociosanitario tempo indeterm.</t>
  </si>
  <si>
    <t>Condizioni di lavoro - comparto ruolo sociosanitario tempo indeterm.</t>
  </si>
  <si>
    <t>Premialità - comparto ruolo sociosanitario tempo indeterm.</t>
  </si>
  <si>
    <t>Incarichi, progressioni economiche ed indennità professionali comparto ruolo sociosanitario tempo indeterm.</t>
  </si>
  <si>
    <t>Incarichi - personale comparto ruolo sociosanitario tempo indeterm.</t>
  </si>
  <si>
    <t>Progressioni economiche - personale comparto ruolo sociosanitario tempo indeterm.</t>
  </si>
  <si>
    <t>Indennità professionali - personale comparto ruolo sociosanitario tempo indeterm.</t>
  </si>
  <si>
    <t>Accantonamento al fondo per TFR dipendenti - personale comparto ruolo sociosanitario tempo indeterm.</t>
  </si>
  <si>
    <t>Accantonamento ai fondi integrativi pensione - personale comparto ruolo sociosanitario tempo indeterm.</t>
  </si>
  <si>
    <t>Altri oneri per il personale comparto ruolo sociosanitario tempo indeterm.</t>
  </si>
  <si>
    <t>Oneri sociali su retribuzione - personale comparto ruolo sociosanitario tempo indeterm.</t>
  </si>
  <si>
    <t>B.7.B.2) a) Costo del personale comparto ruolo tecnico - tempo determinato</t>
  </si>
  <si>
    <t>Voci di costo a carattere stipendiale - personale comparto ruolo tecnico tempo determ.</t>
  </si>
  <si>
    <t>Premialità e condizioni di lavoro personale comparto ruolo tecnico - tempo determ.</t>
  </si>
  <si>
    <t>Straordinario - personale comparto ruolo tecnico tempo determ.</t>
  </si>
  <si>
    <t>Condizioni di lavoro - comparto ruolo tecnico tempo determ.</t>
  </si>
  <si>
    <t>Premialità - comparto ruolo tecnico tempo determ.</t>
  </si>
  <si>
    <t>Incarichi, progressioni economiche ed indennità professionali comparto ruolo tecnico tempo determ.</t>
  </si>
  <si>
    <t>Incarichi - personale comparto ruolo tecnico tempo determ.</t>
  </si>
  <si>
    <t>Progressioni economiche - personale comparto ruolo tecnico tempo determ.</t>
  </si>
  <si>
    <t>Indennità professionali - personale comparto ruolo tecnico tempo determ.</t>
  </si>
  <si>
    <t>Accantonamento al fondo per TFR dipendenti - personale comparto ruolo tecnico tempo determ.</t>
  </si>
  <si>
    <t>Accantonamento ai fondi integrativi pensione - personale comparto ruolo tecnico tempo determ.</t>
  </si>
  <si>
    <t>Altri oneri per il personale comparto ruolo tecnico tempo determ.</t>
  </si>
  <si>
    <t>Oneri sociali su retribuzione - personale comparto ruolo tecnico tempo determ.</t>
  </si>
  <si>
    <t>B.7.B.2) b) Costo del personale comparto ruolo sociosanitario - tempo determinato</t>
  </si>
  <si>
    <t>Voci di costo a carattere stipendiale - personale comparto ruolo sociosanitario tempo determ.</t>
  </si>
  <si>
    <t>Premialità e condizioni di lavoro personale comparto ruolo sociosanitario - tempo determ.</t>
  </si>
  <si>
    <t>Straordinario - personale comparto ruolo sociosanitario tempo determ.</t>
  </si>
  <si>
    <t>Condizioni di lavoro - comparto ruolo sociosanitario tempo determ.</t>
  </si>
  <si>
    <t>Premialità - comparto ruolo sociosanitario tempo determ.</t>
  </si>
  <si>
    <t>Incarichi, progressioni economiche ed indennità professionali comparto ruolo sociosanitario tempo determ.</t>
  </si>
  <si>
    <t>Incarichi - personale comparto ruolo sociosanitario tempo determ.</t>
  </si>
  <si>
    <t>Progressioni economiche - personale comparto ruolo sociosanitario tempo determ.</t>
  </si>
  <si>
    <t>Indennità professionali - personale comparto ruolo sociosanitario tempo determ.</t>
  </si>
  <si>
    <t>Accantonamento al fondo per TFR dipendenti - personale comparto ruolo sociosanitario tempo determ.</t>
  </si>
  <si>
    <t>Accantonamento ai fondi integrativi pensione - personale comparto ruolo sociosanitario tempo determ.</t>
  </si>
  <si>
    <t>Altri oneri per il personale comparto ruolo sociosanitario tempo determ.</t>
  </si>
  <si>
    <t>Oneri sociali su retribuzione - personale comparto ruolo sociosanitario tempo determ.</t>
  </si>
  <si>
    <t>B.8) Personale del ruolo amministrativo</t>
  </si>
  <si>
    <t>Voci di costo a carattere stipendiale - personale dirigente ruolo amministrativo tempo indeterm.</t>
  </si>
  <si>
    <t>Retribuzione di posizione - personale dirigente ruolo amministrativo tempo indeterm.</t>
  </si>
  <si>
    <t>Retribuzione di risultato - personale dirigente ruolo amministrativo tempo indeterm.</t>
  </si>
  <si>
    <t>Trattamento accessorio - personale dirigente ruolo amministrativo tempo indeterm.</t>
  </si>
  <si>
    <t>Accantonamento al fondo per TFR dipendenti - personale dirigente ruolo amministrativo tempo indeterm.</t>
  </si>
  <si>
    <t>Accantonamento ai fondi integrativi pensione - personale dirigente ruolo amministrativo tempo indeterm.</t>
  </si>
  <si>
    <t>Altre competenze personale dirigente ruolo amministrativo - personale dirigente ruolo amministrativo tempo indeterm.</t>
  </si>
  <si>
    <t>Oneri sociali su retribuzione - personale dirigente ruolo amministrativo tempo indeterm.</t>
  </si>
  <si>
    <t>Voci di costo a carattere stipendiale - personale dirigente ruolo amministrativo tempo determ.</t>
  </si>
  <si>
    <t>Retribuzione di posizione - personale dirigente ruolo amministrativo tempo determ.</t>
  </si>
  <si>
    <t>Retribuzione di risultato -  personale dirigente ruolo amministrativo tempo determ.</t>
  </si>
  <si>
    <t>Trattamento accessorio - personale dirigente ruolo amministrativo tempo determ.</t>
  </si>
  <si>
    <t>Accantonamento al fondo per TFR dipendenti - personale dirigente ruolo amministrativo tempo determ.</t>
  </si>
  <si>
    <t>Accantonamento ai fondi integrativi pensione - personale dirigente ruolo amministrativo tempo determ.</t>
  </si>
  <si>
    <t>Altre competenze personale dirigente ruolo amministrativo - personale dirigente ruolo amministrativo tempo determ.</t>
  </si>
  <si>
    <t>Oneri sociali su retribuzione - personale dirigente ruolo amministrativo tempo determ.</t>
  </si>
  <si>
    <t>Voci di costo a carattere stipendiale - personale comparto ruolo amministrativo tempo indeterm.</t>
  </si>
  <si>
    <t>Premialità e condizioni di lavoro personale comparto ruolo amministrativo - tempo indeterm.</t>
  </si>
  <si>
    <t>Straordinario - personale comparto ruolo amministrativo tempo indeterm.</t>
  </si>
  <si>
    <t>Condizioni di lavoro - comparto ruolo amministrativo tempo indeterm.</t>
  </si>
  <si>
    <t>Premialità - comparto ruolo amministrativo tempo indeterm.</t>
  </si>
  <si>
    <t>Incarichi, progressioni economiche ed indennità professionali comparto ruolo amministrativo tempo indeterm.</t>
  </si>
  <si>
    <t>Incarichi - personale comparto ruolo amministrativo tempo indeterm.</t>
  </si>
  <si>
    <t>Progressioni economiche - personale comparto amministrativo tecnico tempo indeterm.</t>
  </si>
  <si>
    <t>Indennità professionali - personale comparto ruolo amministrativo tempo indeterm.</t>
  </si>
  <si>
    <t>Accantonamento al fondo per TFR dipendenti - personale comparto ruolo amministrativo tempo indeterm.</t>
  </si>
  <si>
    <t>Accantonamento ai fondi integrativi pensione - personale comparto ruolo amministrativo tempo indeterm.</t>
  </si>
  <si>
    <t>Altri oneri per il personale comparto ruolo amministrativo tempo indeterm.</t>
  </si>
  <si>
    <t>Oneri sociali su retribuzione - personale comparto ruolo amministrativo tempo indeterm.</t>
  </si>
  <si>
    <t>Voci di costo a carattere stipendiale - personale comparto ruolo amministrativo tempo determ.</t>
  </si>
  <si>
    <t>Premialità e condizioni di lavoro personale comparto ruolo amministrativo - tempo determ.</t>
  </si>
  <si>
    <t>Straordinario - personale comparto ruolo amministrativo tempo determ.</t>
  </si>
  <si>
    <t>Condizioni di lavoro - comparto ruolo amministrativo tempo determ.</t>
  </si>
  <si>
    <t>Premialità - comparto ruolo amministrativo tempo determ.</t>
  </si>
  <si>
    <t>Incarichi, progressioni economiche ed indennità professionali comparto ruolo amministrativo tempo determ.</t>
  </si>
  <si>
    <t>Incarichi - personale comparto ruolo amministrativo tempo determ.</t>
  </si>
  <si>
    <t>Progressioni economiche - personale comparto amministrativo tecnico tempo determ.</t>
  </si>
  <si>
    <t>Indennità professionali - personale comparto ruolo amministrativo tempo determ.</t>
  </si>
  <si>
    <t>Accantonamento al fondo per TFR dipendenti - personale comparto ruolo amministrativo tempo determ.</t>
  </si>
  <si>
    <t>Accantonamento ai fondi integrativi pensione - personale comparto ruolo amministrativo tempo determ.</t>
  </si>
  <si>
    <t>Altri oneri per il personale comparto ruolo amministrativo tempo determ.</t>
  </si>
  <si>
    <t>Oneri sociali su retribuzione - personale comparto ruolo amministrativo tempo determ.</t>
  </si>
  <si>
    <t>B.9) Oneri diversi di gestione</t>
  </si>
  <si>
    <t>B.9.A) Imposte e tasse (escluso IRAP e IRES)</t>
  </si>
  <si>
    <t>B.9.B) Perdite su crediti</t>
  </si>
  <si>
    <t>B.9.C.1) Indennità, rimborso spese e oneri sociali per gli Organi Direttivi e Collegio Sindacale</t>
  </si>
  <si>
    <t>Indennità organi direttivi e di indirizzo</t>
  </si>
  <si>
    <t>Oneri sociali organi direttivi e di indirizzo</t>
  </si>
  <si>
    <t>Indennità collegio sindacale</t>
  </si>
  <si>
    <t>Oneri sociali collegio sindacale</t>
  </si>
  <si>
    <t>Indennità altri organismi</t>
  </si>
  <si>
    <t>Oneri sociali altri organismi</t>
  </si>
  <si>
    <t>B.9.C.2) Altri oneri diversi di gestione</t>
  </si>
  <si>
    <t>Ammortamento Diritti di brevetto e diritti di utilizzazione delle opere d'ingegno derivanti dall'attività di ricerca</t>
  </si>
  <si>
    <t>Svalutazione automezzi</t>
  </si>
  <si>
    <t>Svalutazione Crediti v/Stato per ricerca - altre Amministrazioni centrali</t>
  </si>
  <si>
    <t>Var. rim. prodotti farmaceutici ed emoderivati</t>
  </si>
  <si>
    <t>Var. rim. sangue ed emocomponenti</t>
  </si>
  <si>
    <t>Var. rim. dispositivi medici</t>
  </si>
  <si>
    <t>Var. rim. prodotti dietetici</t>
  </si>
  <si>
    <t>Var. rim. materiali per la profilassi (vaccini)</t>
  </si>
  <si>
    <t>Var. rim. prodotti chimici</t>
  </si>
  <si>
    <t>Var. rim. materiali e prodotti per uso veterinario</t>
  </si>
  <si>
    <t xml:space="preserve">Var. rim. altri beni e prodotti sanitari </t>
  </si>
  <si>
    <t>Var. rim. prodotti alimentari</t>
  </si>
  <si>
    <t>Var. rim. materiali di guardaroba, di pulizia e di convivenza in genere</t>
  </si>
  <si>
    <t>Var. rim. combustibili, carburanti e lubrificanti</t>
  </si>
  <si>
    <t>Var. rim. supporti informatici e cancelleria</t>
  </si>
  <si>
    <t>Var. rim. materiale per la manutenzione</t>
  </si>
  <si>
    <t xml:space="preserve">Var. rim. altri beni e prodotti non sanitari </t>
  </si>
  <si>
    <t>B.14) Accantonamenti dell'esercizio</t>
  </si>
  <si>
    <t>B.14.A.7)  Altri accantonamenti per interessi di mora</t>
  </si>
  <si>
    <t>B.14.C) Accantonamenti per quote inutilizzate di contributi vincolati</t>
  </si>
  <si>
    <t>Accantonamenti per quote inutilizzate contributi da Regione e Prov. Aut. per quota F.S. indistinto finalizzato</t>
  </si>
  <si>
    <t>B.14.D.8) Acc. per Fondi integrativi pensione</t>
  </si>
  <si>
    <t>CA0000</t>
  </si>
  <si>
    <t>C) Proventi e oneri finanziari</t>
  </si>
  <si>
    <t>Interessi moratori e legali attivi</t>
  </si>
  <si>
    <t>C.3) Interessi passivi</t>
  </si>
  <si>
    <t>Interessi moratori e legali passivi</t>
  </si>
  <si>
    <t>DA0000</t>
  </si>
  <si>
    <t>D) Rettifiche di valore di attività finanziarie</t>
  </si>
  <si>
    <t>D.1) Rivalutazioni</t>
  </si>
  <si>
    <t>D.2) Svalutazioni</t>
  </si>
  <si>
    <t>EA0000</t>
  </si>
  <si>
    <t>E) Proventi e oneri straordinari</t>
  </si>
  <si>
    <t>E.1.B.3) Insussistenze attive</t>
  </si>
  <si>
    <t>9</t>
  </si>
  <si>
    <t>YA0000</t>
  </si>
  <si>
    <t>Imposte e tasse</t>
  </si>
  <si>
    <t>TOTALE COSTI</t>
  </si>
  <si>
    <t>(Centesimi di euro)</t>
  </si>
  <si>
    <t>Distribuzione farmaci da privato</t>
  </si>
  <si>
    <t>Compenso servizio distribuzione per conto (DPC)</t>
  </si>
  <si>
    <t>Compartecipazione al personale per att. libero professionale intramoenia  - Altro</t>
  </si>
  <si>
    <t>Oneri su compartecipazione al  personale per att. libero  professionale intramoenia - Altro</t>
  </si>
  <si>
    <t>Compartecipazione al personale  - Altro  (Aziende sanitarie pubbliche della Regione)</t>
  </si>
  <si>
    <t>Oneri su compartecipazione al  personale per att. libero  professionale intramoenia - Altro (Aziende sanitarie pubbliche della Regione)</t>
  </si>
  <si>
    <t>B.5.B.1) a) Costo del personale comparto ruolo sanitario - tempo indeterm.</t>
  </si>
  <si>
    <t>B.5.B.2) b) Costo del personale comparto ruolo ricercatori piramide - tempo indeterm.</t>
  </si>
  <si>
    <t>Voci di costo a carattere stipendiale - personale comparto ruolo ricercatori piramide tempo indeterm.</t>
  </si>
  <si>
    <t>Premialità e condizioni di lavoro personale ruolo ricercatori piramide - tempo indeterm.</t>
  </si>
  <si>
    <t>Straordinario - personale comparto ruolo ricercatori  piramide tempo indeterm.</t>
  </si>
  <si>
    <t>Condizioni di lavoro - ruolo ricercatori piramide tempo indeterm.</t>
  </si>
  <si>
    <t>Premialità - ruolo ricercatori piramide tempo indeterm.</t>
  </si>
  <si>
    <t>Incarichi, progressioni economiche ed indennità professionali comparto ruolo ricercatori piramide tempo indeterm.</t>
  </si>
  <si>
    <t>Incarichi - personale ruolo ricercatori piramide tempo indeterm.</t>
  </si>
  <si>
    <t>Progressioni economiche - personale ruolo ricercatori piramide tempo indeterm.</t>
  </si>
  <si>
    <t>Indennità professionali - personale ruolo ricercatori piramide tempo indeterm.</t>
  </si>
  <si>
    <t>Accantonamento al fondo per TFR dipendenti - personale comparto ruolo ricercatori piramide  tempo indeterm.</t>
  </si>
  <si>
    <t>Accantonamento ai fondi integrativi pensione - personale comparto ruolo ricercatori piramide  tempo indeterm.</t>
  </si>
  <si>
    <t>Altri oneri per il personale comparto ruolo ricercatori piramide  tempo indeterm.</t>
  </si>
  <si>
    <t>Oneri sociali su retribuzione - personale comparto ruolo ricercatori piramide  tempo indeterm.</t>
  </si>
  <si>
    <t>B.5.B.2) c) Costo del personale comparto ruolo collaboratori piramide - tempo indeterm.</t>
  </si>
  <si>
    <t>Voci di costo a carattere stipendiale - personale comparto ruolo collaboratori piramide tempo indeterm.</t>
  </si>
  <si>
    <t>Premialità e condizioni di lavoro personale ruolo collaboratori piramide - tempo indeterm.</t>
  </si>
  <si>
    <t>Straordinario - personale comparto ruolo collaboratori  piramide tempo indeterm.</t>
  </si>
  <si>
    <t>Condizioni di lavoro - ruolo collaboratori piramide tempo indeterm.</t>
  </si>
  <si>
    <t>Premialità - ruolo collaboratori piramide tempo indeterm.</t>
  </si>
  <si>
    <t>Incarichi, progressioni economiche ed indennità professionali comparto ruolo collaboratori piramide tempo indeterm.</t>
  </si>
  <si>
    <t>Incarichi - personale ruolo collaboratori piramide tempo indeterm.</t>
  </si>
  <si>
    <t>Progressioni economiche - personale ruolo collaboratori piramide tempo indeterm.</t>
  </si>
  <si>
    <t>Indennità professionali - personale ruolo collaboratori piramide tempo indeterm.</t>
  </si>
  <si>
    <t>Accantonamento al fondo per TFR dipendenti - personale comparto ruolo collaboratori piramide  tempo indeterm.</t>
  </si>
  <si>
    <t>Accantonamento ai fondi integrativi pensione - personale comparto ruolo collaboratori piramide  tempo indeterm.</t>
  </si>
  <si>
    <t>Altri oneri per il personale comparto ruolo collaboratori piramide  tempo indeterm.</t>
  </si>
  <si>
    <t>Oneri sociali su retribuzione - personale comparto ruolo collaboratori piramide  tempo indeterm.</t>
  </si>
  <si>
    <t>B.7.B.1) a) Costo del personale dirigente ruolo tecnico - tempo indeterminato</t>
  </si>
  <si>
    <t>B.7.B.1) a) Costo del personale dirigente ruolo sociosanitario - tempo indeterminato</t>
  </si>
  <si>
    <t>Voci di costo a carattere stipendiale - personale dirigente ruolo sociosanitario tempo indeterm.</t>
  </si>
  <si>
    <t>Retribuzione di risultato - personale dirigente ruolo sociosanitario tempo indeterm.</t>
  </si>
  <si>
    <t>Trattamento accessorio - personale dirigente ruolo sociosanitario tempo indeterm.</t>
  </si>
  <si>
    <t>Accantonamento al fondo per TFR dipendenti - personale dirigente ruolo sociosanitario tempo indeterm.</t>
  </si>
  <si>
    <t>Accantonamento ai fondi integrativi pensione - personale dirigente ruolo sociosanitario tempo indeterm.</t>
  </si>
  <si>
    <t>Altre competenze personale dirigente ruolo sociosanitario - personale dirigente ruolo sociosanitario tempo indeterm.</t>
  </si>
  <si>
    <t>Oneri sociali su retribuzione - personale dirigente ruolo sociosanitario tempo indeterm.</t>
  </si>
  <si>
    <t>B.7.B.1) a) Costo del personale dirigente ruolo tecnico - tempo determinato</t>
  </si>
  <si>
    <t>B.7.B.1) a) Costo del personale dirigente ruolo sociosanitario - tempo determinato</t>
  </si>
  <si>
    <t>Voci di costo a carattere stipendiale - personale dirigente ruolo sociosanitario tempo determ.</t>
  </si>
  <si>
    <t>Retribuzione di posizione - personale dirigente ruolo sociosanitario tempo determ.</t>
  </si>
  <si>
    <t>Retribuzione di risultato - personale dirigente ruolo sociosanitario tempo determ.</t>
  </si>
  <si>
    <t>Trattamento accessorio -  personale dirigente ruolo sociosanitario tempo determ.</t>
  </si>
  <si>
    <t>Accantonamento al fondo per TFR dipendenti - personale dirigente ruolo sociosanitario tempo determ.</t>
  </si>
  <si>
    <t>Accantonamento ai fondi integrativi pensione - personale dirigente ruolo sociosanitario tempo determ.</t>
  </si>
  <si>
    <t>Altre competenze personale dirigente ruolo sociosanitario - personale dirigente ruolo sociosanitario tempo determ.</t>
  </si>
  <si>
    <t>Oneri sociali su retribuzione - personale dirigente ruolo sociosanitario tempo determ.</t>
  </si>
  <si>
    <t>Costo del personale dirigente ruolo sociosanitario - altro</t>
  </si>
  <si>
    <t>Costo del personale comparto ruolo sociosanitario - altro</t>
  </si>
  <si>
    <t>Retribuzione di posizione - personale dirigente ruolo sociosanitario tempo indeterm.</t>
  </si>
  <si>
    <t>ENTE SSN</t>
  </si>
  <si>
    <t>ANNO</t>
  </si>
  <si>
    <t>TRIM.</t>
  </si>
  <si>
    <t>Importo 2024 BILANCIO SANITARIO (A+B)</t>
  </si>
  <si>
    <t>Importo 2024 bilancio sanità (A)</t>
  </si>
  <si>
    <t>Importo 2024 bilancio sanità disabilità (B)</t>
  </si>
  <si>
    <t>Importo 2023</t>
  </si>
  <si>
    <t>Variazione
importo 2024 / importo 2023</t>
  </si>
  <si>
    <t>Importo 2024</t>
  </si>
  <si>
    <t>STATO PATRIMONIALE
Attivo</t>
  </si>
  <si>
    <t>Importi: Unità di Euro</t>
  </si>
  <si>
    <t>Anno 2023</t>
  </si>
  <si>
    <t>IMMOBILIZZAZIONI</t>
  </si>
  <si>
    <t>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</si>
  <si>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</si>
  <si>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</si>
  <si>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</si>
  <si>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</si>
  <si>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</si>
  <si>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</si>
  <si>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</si>
  <si>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</si>
  <si>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</si>
  <si>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</si>
  <si>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</si>
  <si>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</si>
  <si>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</si>
  <si>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</si>
  <si>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</si>
  <si>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</si>
  <si>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</si>
  <si>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</si>
  <si>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</si>
  <si>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</si>
  <si>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</si>
  <si>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</si>
  <si>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</si>
  <si>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</si>
  <si>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</si>
  <si>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</si>
  <si>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</si>
  <si>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</si>
  <si>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</si>
  <si>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</si>
  <si>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</si>
  <si>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III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</si>
  <si>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</si>
  <si>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</si>
  <si>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</si>
  <si>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</si>
  <si>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</si>
  <si>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</si>
  <si>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</si>
  <si>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</si>
  <si>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</si>
  <si>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</si>
  <si>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</si>
  <si>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</si>
  <si>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</si>
  <si>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</si>
  <si>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</si>
  <si>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</si>
  <si>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</si>
  <si>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</si>
  <si>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</si>
  <si>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</si>
  <si>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</si>
  <si>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</si>
  <si>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</si>
  <si>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</si>
  <si>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</si>
  <si>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</si>
  <si>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</si>
  <si>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</si>
  <si>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</si>
  <si>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</si>
  <si>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</si>
  <si>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</si>
  <si>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</si>
  <si>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</si>
  <si>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</si>
  <si>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</si>
  <si>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</si>
  <si>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</si>
  <si>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</si>
  <si>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</si>
  <si>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</si>
  <si>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</si>
  <si>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</si>
  <si>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</si>
  <si>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</si>
  <si>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</si>
  <si>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</si>
  <si>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</si>
  <si>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</si>
  <si>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</si>
  <si>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</si>
  <si>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</si>
  <si>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</si>
  <si>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IV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</si>
  <si>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</si>
  <si>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</si>
  <si>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</si>
  <si>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</si>
  <si>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</si>
  <si>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</si>
  <si>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</si>
  <si>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</si>
  <si>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</si>
  <si>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</si>
  <si>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</si>
  <si>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</si>
  <si>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</si>
  <si>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</si>
  <si>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</si>
  <si>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</si>
  <si>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</si>
  <si>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</si>
  <si>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</si>
  <si>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</si>
  <si>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</si>
  <si>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</si>
  <si>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</si>
  <si>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</si>
  <si>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</si>
  <si>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</si>
  <si>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</si>
  <si>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</si>
  <si>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</si>
  <si>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</si>
  <si>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</si>
  <si>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</si>
  <si>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</si>
  <si>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</si>
  <si>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</si>
  <si>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>V</t>
  </si>
  <si>
    <t xml:space="preserve">Contributi per ripiani perdite </t>
  </si>
  <si>
    <t>VI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</si>
  <si>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</si>
  <si>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</si>
  <si>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</si>
  <si>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</si>
  <si>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</si>
  <si>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</si>
  <si>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</si>
  <si>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</si>
  <si>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</si>
  <si>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</si>
  <si>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</si>
  <si>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</si>
  <si>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</si>
  <si>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</si>
  <si>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</si>
  <si>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</si>
  <si>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</si>
  <si>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</si>
  <si>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</si>
  <si>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</si>
  <si>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</si>
  <si>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</si>
  <si>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</si>
  <si>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</si>
  <si>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</si>
  <si>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</si>
  <si>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</si>
  <si>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</si>
  <si>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</si>
  <si>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</si>
  <si>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</si>
  <si>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</si>
  <si>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</si>
  <si>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</si>
  <si>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</si>
  <si>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</si>
  <si>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</si>
  <si>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</si>
  <si>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</si>
  <si>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</si>
  <si>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</si>
  <si>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</si>
  <si>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 xml:space="preserve"> </t>
  </si>
  <si>
    <t>Totale F)</t>
  </si>
  <si>
    <t>SP</t>
  </si>
  <si>
    <t xml:space="preserve">MODELLO DI RILEVAZIONE DELLO STATO PATRIMONIALE 
ENTI DEL SERVIZIO SANITARIO NAZIONALE
</t>
  </si>
  <si>
    <t>OGGETTO DELLA RILEVAZIONE</t>
  </si>
  <si>
    <t xml:space="preserve">            ANNO</t>
  </si>
  <si>
    <t xml:space="preserve">    TRIMESTRE</t>
  </si>
  <si>
    <t xml:space="preserve">CONSUNTIVO </t>
  </si>
  <si>
    <t>(Centesimo di euro)</t>
  </si>
  <si>
    <t>IMPORTO
2023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</si>
  <si>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</si>
  <si>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</si>
  <si>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</si>
  <si>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</si>
  <si>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</si>
  <si>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</si>
  <si>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</si>
  <si>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</si>
  <si>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</si>
  <si>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</si>
  <si>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</si>
  <si>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</si>
  <si>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</si>
  <si>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</si>
  <si>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</si>
  <si>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</si>
  <si>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</si>
  <si>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</si>
  <si>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</si>
  <si>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</si>
  <si>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</si>
  <si>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</si>
  <si>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</si>
  <si>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</si>
  <si>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</si>
  <si>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</si>
  <si>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</si>
  <si>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</si>
  <si>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</si>
  <si>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</si>
  <si>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</si>
  <si>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</si>
  <si>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</si>
  <si>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</si>
  <si>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</si>
  <si>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</si>
  <si>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</si>
  <si>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</si>
  <si>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</si>
  <si>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</si>
  <si>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</si>
  <si>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</si>
  <si>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</si>
  <si>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</si>
  <si>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</si>
  <si>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</si>
  <si>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</si>
  <si>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</si>
  <si>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</si>
  <si>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</si>
  <si>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</si>
  <si>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</si>
  <si>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</si>
  <si>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</si>
  <si>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</si>
  <si>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</si>
  <si>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</si>
  <si>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</si>
  <si>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</si>
  <si>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</si>
  <si>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</si>
  <si>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</si>
  <si>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</si>
  <si>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</si>
  <si>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</si>
  <si>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</si>
  <si>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</si>
  <si>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</si>
  <si>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</si>
  <si>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</si>
  <si>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</si>
  <si>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</si>
  <si>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</si>
  <si>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</si>
  <si>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</si>
  <si>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</si>
  <si>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</si>
  <si>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</si>
  <si>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</si>
  <si>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</si>
  <si>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</si>
  <si>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</si>
  <si>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</si>
  <si>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</si>
  <si>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</si>
  <si>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</si>
  <si>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</si>
  <si>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</si>
  <si>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</si>
  <si>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</si>
  <si>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</si>
  <si>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</si>
  <si>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</si>
  <si>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</si>
  <si>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</si>
  <si>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</si>
  <si>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</si>
  <si>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</si>
  <si>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</si>
  <si>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</si>
  <si>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</si>
  <si>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</si>
  <si>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</si>
  <si>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</si>
  <si>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</si>
  <si>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</si>
  <si>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</si>
  <si>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</si>
  <si>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</si>
  <si>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</si>
  <si>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</si>
  <si>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</si>
  <si>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</si>
  <si>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</si>
  <si>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</si>
  <si>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</si>
  <si>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</si>
  <si>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</si>
  <si>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</si>
  <si>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</si>
  <si>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</si>
  <si>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</si>
  <si>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</si>
  <si>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</si>
  <si>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</si>
  <si>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</si>
  <si>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</si>
  <si>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</si>
  <si>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</si>
  <si>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</si>
  <si>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</si>
  <si>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</si>
  <si>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</si>
  <si>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</si>
  <si>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</si>
  <si>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</si>
  <si>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</si>
  <si>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</si>
  <si>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</si>
  <si>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</si>
  <si>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</si>
  <si>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</si>
  <si>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</si>
  <si>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</si>
  <si>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</si>
  <si>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</si>
  <si>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</si>
  <si>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</si>
  <si>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</si>
  <si>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</si>
  <si>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</si>
  <si>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</si>
  <si>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</si>
  <si>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</si>
  <si>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</si>
  <si>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</si>
  <si>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</si>
  <si>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</si>
  <si>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</si>
  <si>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</si>
  <si>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</si>
  <si>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</si>
  <si>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</si>
  <si>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</si>
  <si>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</si>
  <si>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</si>
  <si>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</si>
  <si>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</si>
  <si>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</si>
  <si>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</si>
  <si>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</si>
  <si>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</si>
  <si>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</si>
  <si>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</si>
  <si>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</si>
  <si>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</si>
  <si>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</si>
  <si>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</si>
  <si>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</si>
  <si>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</si>
  <si>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</si>
  <si>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</si>
  <si>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</si>
  <si>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</si>
  <si>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</si>
  <si>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</si>
  <si>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</si>
  <si>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</si>
  <si>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</si>
  <si>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</si>
  <si>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</si>
  <si>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</si>
  <si>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</si>
  <si>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</si>
  <si>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</si>
  <si>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</si>
  <si>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</si>
  <si>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</si>
  <si>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</si>
  <si>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</si>
  <si>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ABA201</t>
  </si>
  <si>
    <t>B.II.1.a) Crediti v/Stato per spesa corrente - FSN indistinto</t>
  </si>
  <si>
    <t>ABA220</t>
  </si>
  <si>
    <t>B.II.1.b) Crediti v/Stato per spesa corrente - FSN vincolato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</si>
  <si>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</si>
  <si>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</si>
  <si>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</si>
  <si>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</si>
  <si>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</si>
  <si>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</si>
  <si>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</si>
  <si>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</si>
  <si>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</si>
  <si>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</si>
  <si>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</si>
  <si>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</si>
  <si>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</si>
  <si>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</si>
  <si>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</si>
  <si>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</si>
  <si>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</si>
  <si>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</si>
  <si>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</si>
  <si>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</si>
  <si>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</si>
  <si>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</si>
  <si>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</si>
  <si>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</si>
  <si>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</si>
  <si>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</si>
  <si>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</si>
  <si>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</si>
  <si>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</si>
  <si>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</si>
  <si>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</si>
  <si>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</si>
  <si>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</si>
  <si>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</si>
  <si>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</si>
  <si>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</si>
  <si>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</si>
  <si>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</si>
  <si>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</si>
  <si>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</si>
  <si>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</si>
  <si>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</si>
  <si>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</si>
  <si>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</si>
  <si>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</si>
  <si>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</si>
  <si>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</si>
  <si>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</si>
  <si>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</si>
  <si>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</si>
  <si>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</si>
  <si>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</si>
  <si>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</si>
  <si>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</si>
  <si>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</si>
  <si>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</si>
  <si>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</si>
  <si>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</si>
  <si>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</si>
  <si>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</si>
  <si>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</si>
  <si>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</si>
  <si>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</si>
  <si>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</si>
  <si>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</si>
  <si>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</si>
  <si>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</si>
  <si>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</si>
  <si>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</si>
  <si>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</si>
  <si>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</si>
  <si>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</si>
  <si>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</si>
  <si>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</si>
  <si>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</si>
  <si>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</si>
  <si>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</si>
  <si>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</si>
  <si>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</si>
  <si>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</si>
  <si>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</si>
  <si>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</si>
  <si>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</si>
  <si>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</si>
  <si>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</si>
  <si>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</si>
  <si>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</si>
  <si>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</si>
  <si>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</si>
  <si>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</si>
  <si>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</si>
  <si>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</si>
  <si>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</si>
  <si>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</si>
  <si>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</si>
  <si>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</si>
  <si>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</si>
  <si>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</si>
  <si>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</si>
  <si>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</si>
  <si>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</si>
  <si>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</si>
  <si>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</si>
  <si>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</si>
  <si>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</si>
  <si>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</si>
  <si>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</si>
  <si>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</si>
  <si>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</si>
  <si>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</si>
  <si>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</si>
  <si>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</si>
  <si>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</si>
  <si>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</si>
  <si>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(diverse)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</si>
  <si>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</si>
  <si>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</si>
  <si>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</si>
  <si>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</si>
  <si>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</si>
  <si>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</si>
  <si>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</si>
  <si>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</si>
  <si>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</si>
  <si>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</si>
  <si>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</si>
  <si>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</si>
  <si>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</si>
  <si>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</si>
  <si>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</si>
  <si>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</si>
  <si>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</si>
  <si>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</si>
  <si>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</si>
  <si>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</si>
  <si>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</si>
  <si>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</si>
  <si>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</si>
  <si>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</si>
  <si>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</si>
  <si>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</si>
  <si>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</si>
  <si>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</si>
  <si>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</si>
  <si>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</si>
  <si>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</si>
  <si>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</si>
  <si>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</si>
  <si>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</si>
  <si>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</si>
  <si>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</si>
  <si>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</si>
  <si>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</si>
  <si>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</si>
  <si>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</si>
  <si>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</si>
  <si>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</si>
  <si>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</si>
  <si>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</si>
  <si>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</si>
  <si>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</si>
  <si>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</si>
  <si>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</si>
  <si>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</si>
  <si>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</si>
  <si>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</si>
  <si>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</si>
  <si>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</si>
  <si>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</si>
  <si>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</si>
  <si>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</si>
  <si>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</si>
  <si>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</si>
  <si>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</si>
  <si>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</si>
  <si>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</si>
  <si>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</si>
  <si>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</si>
  <si>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</si>
  <si>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</si>
  <si>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</si>
  <si>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</si>
  <si>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</si>
  <si>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</si>
  <si>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</si>
  <si>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</si>
  <si>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</si>
  <si>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</si>
  <si>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</si>
  <si>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</si>
  <si>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</si>
  <si>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</si>
  <si>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</si>
  <si>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</si>
  <si>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</si>
  <si>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</si>
  <si>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</si>
  <si>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</si>
  <si>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</si>
  <si>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</si>
  <si>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</si>
  <si>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</si>
  <si>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</si>
  <si>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</si>
  <si>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</si>
  <si>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</si>
  <si>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</si>
  <si>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</si>
  <si>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</si>
  <si>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</si>
  <si>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</si>
  <si>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</si>
  <si>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</si>
  <si>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</si>
  <si>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</si>
  <si>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</si>
  <si>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</si>
  <si>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</si>
  <si>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</si>
  <si>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</si>
  <si>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</si>
  <si>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</si>
  <si>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</si>
  <si>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</si>
  <si>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</si>
  <si>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</si>
  <si>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</si>
  <si>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</si>
  <si>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</si>
  <si>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</si>
  <si>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</si>
  <si>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</si>
  <si>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</si>
  <si>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</si>
  <si>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</si>
  <si>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</si>
  <si>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</si>
  <si>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</si>
  <si>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</si>
  <si>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</si>
  <si>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</si>
  <si>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</si>
  <si>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</si>
  <si>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</si>
  <si>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</si>
  <si>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</si>
  <si>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</si>
  <si>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</si>
  <si>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</si>
  <si>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</si>
  <si>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</si>
  <si>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</si>
  <si>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</si>
  <si>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</si>
  <si>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</si>
  <si>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</si>
  <si>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</si>
  <si>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</si>
  <si>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</si>
  <si>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</si>
  <si>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</si>
  <si>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</si>
  <si>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</si>
  <si>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</si>
  <si>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</si>
  <si>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</si>
  <si>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</si>
  <si>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</si>
  <si>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</si>
  <si>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</si>
  <si>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</si>
  <si>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</si>
  <si>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</si>
  <si>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</si>
  <si>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</si>
  <si>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</si>
  <si>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</si>
  <si>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</si>
  <si>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</si>
  <si>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</si>
  <si>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</si>
  <si>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</si>
  <si>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</si>
  <si>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</si>
  <si>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</si>
  <si>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</si>
  <si>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</si>
  <si>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</si>
  <si>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</si>
  <si>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</si>
  <si>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</si>
  <si>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</si>
  <si>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</si>
  <si>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</si>
  <si>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</si>
  <si>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</si>
  <si>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</si>
  <si>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</si>
  <si>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</si>
  <si>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</si>
  <si>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</si>
  <si>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</si>
  <si>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</si>
  <si>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</si>
  <si>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</si>
  <si>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</si>
  <si>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</si>
  <si>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</si>
  <si>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</si>
  <si>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</si>
  <si>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</si>
  <si>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</si>
  <si>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</si>
  <si>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</si>
  <si>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</si>
  <si>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</si>
  <si>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</si>
  <si>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</si>
  <si>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</si>
  <si>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</si>
  <si>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</si>
  <si>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</si>
  <si>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</si>
  <si>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</si>
  <si>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</si>
  <si>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</si>
  <si>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</si>
  <si>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</si>
  <si>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</si>
  <si>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</si>
  <si>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</si>
  <si>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</si>
  <si>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</si>
  <si>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</si>
  <si>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</si>
  <si>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</si>
  <si>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</si>
  <si>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</si>
  <si>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</si>
  <si>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</si>
  <si>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</si>
  <si>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</si>
  <si>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</si>
  <si>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</si>
  <si>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</si>
  <si>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</si>
  <si>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</si>
  <si>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</si>
  <si>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</si>
  <si>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</si>
  <si>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</si>
  <si>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</si>
  <si>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</si>
  <si>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</si>
  <si>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</si>
  <si>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</si>
  <si>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</si>
  <si>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</si>
  <si>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</si>
  <si>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</si>
  <si>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</si>
  <si>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</si>
  <si>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</si>
  <si>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</si>
  <si>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</si>
  <si>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</si>
  <si>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</si>
  <si>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</si>
  <si>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</si>
  <si>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</si>
  <si>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</si>
  <si>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</si>
  <si>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</si>
  <si>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</si>
  <si>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</si>
  <si>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</si>
  <si>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</si>
  <si>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</si>
  <si>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</si>
  <si>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</si>
  <si>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</si>
  <si>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</si>
  <si>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</si>
  <si>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</si>
  <si>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</si>
  <si>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</si>
  <si>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</si>
  <si>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</si>
  <si>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</si>
  <si>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</si>
  <si>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</si>
  <si>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</si>
  <si>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</si>
  <si>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</si>
  <si>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</si>
  <si>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</si>
  <si>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</si>
  <si>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</si>
  <si>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</si>
  <si>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</si>
  <si>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</si>
  <si>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</si>
  <si>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</si>
  <si>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</si>
  <si>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</si>
  <si>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</si>
  <si>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</si>
  <si>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</si>
  <si>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</si>
  <si>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</si>
  <si>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</si>
  <si>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</si>
  <si>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</si>
  <si>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</si>
  <si>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</si>
  <si>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</si>
  <si>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</si>
  <si>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</si>
  <si>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</si>
  <si>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</si>
  <si>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</si>
  <si>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</si>
  <si>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</si>
  <si>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</si>
  <si>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</si>
  <si>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</si>
  <si>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</si>
  <si>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</si>
  <si>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</si>
  <si>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</si>
  <si>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</si>
  <si>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Importo
2023</t>
  </si>
  <si>
    <t>Costi di impianto e di ampliamento</t>
  </si>
  <si>
    <t>F.do Amm.to costi di impianto e di ampliamento</t>
  </si>
  <si>
    <t>Costi di ricerca e sviluppo</t>
  </si>
  <si>
    <t>F.do Amm.to costi di ricerca e sviluppo</t>
  </si>
  <si>
    <t>Diritti di brevetto e diritti di utilizzazione delle opere d'ingegno - derivanti dall'attività di ricerca</t>
  </si>
  <si>
    <t>F.do Amm.to diritti di brevetto e diritti di utilizzazione delle opere d'ingegno - derivanti dall'attività di ricerca</t>
  </si>
  <si>
    <t>Diritti di brevetto e diritti di utilizzazione delle opere d'ingegno - altri</t>
  </si>
  <si>
    <t>F.do Amm.to diritti di brevetto e diritti di utilizzazione delle opere d'ingegno - altri</t>
  </si>
  <si>
    <t>Concessioni, licenze, marchi e diritti simili</t>
  </si>
  <si>
    <t>F.do Amm.to concessioni, licenze, marchi e diritti simili</t>
  </si>
  <si>
    <t>Migliorie su beni di terzi</t>
  </si>
  <si>
    <t>F.do Amm.to migliorie su beni di terzi</t>
  </si>
  <si>
    <t>Pubblicità</t>
  </si>
  <si>
    <t>F.do Amm.to pubblicità</t>
  </si>
  <si>
    <t>F.do Amm.to altre immobilizzazioni immateriali</t>
  </si>
  <si>
    <t>F.do Svalut. Costi di impianto e di ampliamento</t>
  </si>
  <si>
    <t>F.do Svalut. Costi di ricerca e sviluppo</t>
  </si>
  <si>
    <t>F.do Svalut. Diritti di brevetto e diritti di utilizzazione delle opere d'ingegno</t>
  </si>
  <si>
    <t>F.do Svalut. Altre immobilizzazioni immateriali</t>
  </si>
  <si>
    <t>F.do Amm.to Fabbricati non strumentali (disponibili)</t>
  </si>
  <si>
    <t>F.do Amm.to Fabbricati strumentali (indisponibili)</t>
  </si>
  <si>
    <t>F.do Amm.to Impianti e macchinari</t>
  </si>
  <si>
    <t>F.do Amm.to Attrezzature sanitarie e scientifiche</t>
  </si>
  <si>
    <t>F.do Amm.to Mobili e arredi</t>
  </si>
  <si>
    <t>F.do Amm.to Automezzi</t>
  </si>
  <si>
    <t>F.do Amm.to Altre immobilizzazioni materiali</t>
  </si>
  <si>
    <t>F.do Svalut. Terreni disponibili</t>
  </si>
  <si>
    <t>F.do Svalut. Terreni indisponibili</t>
  </si>
  <si>
    <t>F.do Svalut. Fabbricati disponibili</t>
  </si>
  <si>
    <t>F.do Svalut. Fabbricati indisponibili</t>
  </si>
  <si>
    <t>F.do Svalut. Impianti e macchinari</t>
  </si>
  <si>
    <t>F.do Svalut. Attrezzature sanitarie e scientifiche</t>
  </si>
  <si>
    <t>F.do Svalut. Mobili e arredi</t>
  </si>
  <si>
    <t>F.do Svalut. Automezzi</t>
  </si>
  <si>
    <t>F.do Svalut. Oggetti d'arte</t>
  </si>
  <si>
    <t>F.do Svalut. Altre immobilizzazioni materiali</t>
  </si>
  <si>
    <t>Fondo svalutazione Crediti finanziari v/Stato</t>
  </si>
  <si>
    <t>Fondo svalutazione Crediti finanziari v/Regione</t>
  </si>
  <si>
    <t>Fondo svalutazione Crediti finanziari v/partecipate</t>
  </si>
  <si>
    <t>per contributi in conto capitale su gestioni pregresse (ASSR e altri)</t>
  </si>
  <si>
    <t>per contributi in conto capitale su gestioni liquidatorie (ASSR e altri)</t>
  </si>
  <si>
    <t>Altri crediti (ASSR e altri)</t>
  </si>
  <si>
    <t>Fondo svalutazione Crediti finanziari v/altri</t>
  </si>
  <si>
    <t>Titoli di Stato</t>
  </si>
  <si>
    <t>Altre Obbligazioni</t>
  </si>
  <si>
    <t>Titoli azionari quotati in Borsa</t>
  </si>
  <si>
    <t>Titoli diversi</t>
  </si>
  <si>
    <t>Acconti per acquisto di beni e prodotti sanitari</t>
  </si>
  <si>
    <t>Acconti per acquisto di beni e prodotti non sanitari</t>
  </si>
  <si>
    <t>Crediti v/Stato per spesa corrente - FSN indistinto</t>
  </si>
  <si>
    <t>Fondo Svalutazione Crediti v/Stato per spesa corrente - FSN indistinto</t>
  </si>
  <si>
    <t>Crediti v/Stato per spesa corrente - FSN vincolato</t>
  </si>
  <si>
    <t>Fondo Svalutazione Crediti v/Stato per spesa corrente - FSN vincolato</t>
  </si>
  <si>
    <t>Crediti v/Stato per mobilità attiva extraregionale</t>
  </si>
  <si>
    <t>Fondo Svalutazione Crediti v/Stato per mobilità attiva extraregionale</t>
  </si>
  <si>
    <t>Crediti v/Stato per mobilità attiva internazionale</t>
  </si>
  <si>
    <t>Fondo Svalutazione Crediti v/Stato per mobilità attiva internazionale</t>
  </si>
  <si>
    <t>Crediti v/Stato per acconto quota fabbisogno sanitario regionale standard</t>
  </si>
  <si>
    <t>Fondo Svalutazione Crediti v/Stato per acconto quota fabbisogno sanitario regionale standard</t>
  </si>
  <si>
    <t>Crediti v/Stato per finanziamento sanitario aggiuntivo corrente</t>
  </si>
  <si>
    <t>Fondo Svalutazione Crediti v/Stato per finanziamento sanitario aggiuntivo corrente</t>
  </si>
  <si>
    <t>Crediti v/Stato per spesa corrente - altro</t>
  </si>
  <si>
    <t>Fondo Svalutazione  Crediti v/Stato per spesa corrente - altro</t>
  </si>
  <si>
    <t>Crediti v/Stato per spesa corrente per STP (ex D.lgs. 286/98)</t>
  </si>
  <si>
    <t>Fondo Svalutazione Crediti v/Stato per spesa corrente per STP (ex D.lgs. 286/98)</t>
  </si>
  <si>
    <t>Crediti v/Stato per finanziamenti per investimenti</t>
  </si>
  <si>
    <t>Fondo Svalutazione Crediti v/Stato per finanziamenti per investimenti</t>
  </si>
  <si>
    <t>Crediti v/Stato per ricerca corrente - Ministero della Salute</t>
  </si>
  <si>
    <t>Fondo Svalutazione Crediti v/Stato per ricerca corrente - Ministero della Salute</t>
  </si>
  <si>
    <t>Crediti v/Stato per ricerca finalizzata - Ministero della Salute</t>
  </si>
  <si>
    <t>Fondo Svalutazione Crediti v/Stato per ricerca finalizzata - Ministero della Salute</t>
  </si>
  <si>
    <t>Crediti verso ministero dell'università</t>
  </si>
  <si>
    <t>Crediti verso ministero della difesa</t>
  </si>
  <si>
    <t>Crediti v/Stato per ricerca - finanziamenti per investimenti</t>
  </si>
  <si>
    <t>Fondo Svalutazione Crediti v/Stato per ricerca - finanziamenti per investimenti</t>
  </si>
  <si>
    <t>Crediti verso prefetture</t>
  </si>
  <si>
    <t>Fondo Svalutazione Crediti v/prefetture</t>
  </si>
  <si>
    <t>Crediti v/Regione o Provincia Autonoma per quota FSR</t>
  </si>
  <si>
    <t>Fondo Svalutazione Crediti v/Regione o Provincia Autonoma per quota FSR</t>
  </si>
  <si>
    <t>Crediti v/Regione o Provincia Autonoma per mobilità attiva intraregionale</t>
  </si>
  <si>
    <t>Fondo Svalutazione  Crediti v/Regione o Provincia Autonoma per mobilità attiva intraregionale</t>
  </si>
  <si>
    <t>Crediti v/Regione o Provincia Autonoma per mobilità attiva extraregionale</t>
  </si>
  <si>
    <t>Fondo Svalutazione  Crediti v/Regione o Provincia Autonoma per mobilità attiva extraregionale</t>
  </si>
  <si>
    <t>Crediti v/Regione o Provincia Autonoma per acconto quota FSR</t>
  </si>
  <si>
    <t>Fondo Svalutazione  Crediti v/Regione o Provincia Autonoma per acconto quota FSR</t>
  </si>
  <si>
    <t>Crediti v/Regione o Provincia Autonoma per finanziamento sanitario aggiuntivo corrente LEA</t>
  </si>
  <si>
    <t>Fondo Svalutazione Crediti v/Regione o Provincia Autonoma per finanziamento sanitario aggiuntivo corrente LEA</t>
  </si>
  <si>
    <t>Crediti v/Regione o Provincia Autonoma per finanziamento sanitario aggiuntivo corrente extra LEA</t>
  </si>
  <si>
    <t>Fondo Svalutazione  Crediti v/Regione o Provincia Autonoma per finanziamento sanitario aggiuntivo corrente extra LEA</t>
  </si>
  <si>
    <t>Crediti v/Regione o Provincia Autonoma per spesa corrente - altro</t>
  </si>
  <si>
    <t>Fondo Svalutazione  Crediti v/Regione o Provincia Autonoma per spesa corrente - altro</t>
  </si>
  <si>
    <t>Crediti v/Regione o Provincia Autonoma per spesa corrente - STP (ex D.lgs. 286/98)</t>
  </si>
  <si>
    <t>Fondo Svalutazione Crediti v/Regione o Provincia Autonoma per spesa corrente - STP (ex D.lgs. 286/98)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</si>
  <si>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</si>
  <si>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</si>
  <si>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</si>
  <si>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</si>
  <si>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Fondo Svalutazione Crediti v/Regione o Provincia Autonoma per ricerca</t>
  </si>
  <si>
    <t>Crediti v/Regione o Provincia Autonoma per mobilità attiva internazionale</t>
  </si>
  <si>
    <t>Fondo Svalutazione Crediti v/Regione o Provincia Autonoma per mobilità attiva internazionale</t>
  </si>
  <si>
    <t>Crediti v/Regione o Provincia Autonoma per finanziamenti per investimenti</t>
  </si>
  <si>
    <t>Fondo Svalutazione Crediti v/Regione o Provincia Autonoma per finanziamenti per investimenti</t>
  </si>
  <si>
    <t>Crediti v/Regione o Provincia Autonoma per incremento fondo dotazione</t>
  </si>
  <si>
    <t>Fondo Svalutazione Crediti v/Regione o Provincia Autonoma per incremento fondo dotazione</t>
  </si>
  <si>
    <t>Fondo Svalutazione Crediti v/Regione o Provincia Autonoma per ripiano perdite</t>
  </si>
  <si>
    <t>Crediti v/Regione o Provincia Autonoma per anticipazione ripiano disavanzo programmato dai Piani aziendali di cui all'art. 1, comma 528, L. 208/2015</t>
  </si>
  <si>
    <t>Crediti v/Regione per copertura debiti al 31/12/2005</t>
  </si>
  <si>
    <t>Fondo Svalutazione Crediti v/Regione per copertura debiti al 31/12/2005</t>
  </si>
  <si>
    <t>Fondo Svalutazione Crediti v/Regione o Provincia Autonoma per ricostituzione risorse da investimenti esercizi precedenti</t>
  </si>
  <si>
    <t>Crediti v/Regione o Provincia Autonoma per contributi L. 210/92 – aziende sanitarie</t>
  </si>
  <si>
    <t>Crediti v/comuni</t>
  </si>
  <si>
    <t>Fondo Svalutazione Crediti v/Comuni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</si>
  <si>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</si>
  <si>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</si>
  <si>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</si>
  <si>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>Acconto quota FSR da distribuire</t>
  </si>
  <si>
    <t>Crediti v/Aziende sanitarie pubbliche Extraregione</t>
  </si>
  <si>
    <t>Fondo Svalutazione Crediti v/Aziende sanitarie pubbliche Extraregione</t>
  </si>
  <si>
    <t>Crediti v/enti regionali</t>
  </si>
  <si>
    <t>Fondo Svalutazione Crediti v/enti regionali</t>
  </si>
  <si>
    <t>Crediti v/sperimentazioni gestionali</t>
  </si>
  <si>
    <t>Fondo Svalutazione Crediti v/sperimentazioni gestionali</t>
  </si>
  <si>
    <t>Crediti v/altre partecipate</t>
  </si>
  <si>
    <t>Fondo Svalutazione Crediti v/altre partecipate</t>
  </si>
  <si>
    <t>IVA a Credito</t>
  </si>
  <si>
    <t>IVA a Credito per acquisti Infra CEE</t>
  </si>
  <si>
    <t>IVA a Credito per autofatture</t>
  </si>
  <si>
    <t>Imposte varie</t>
  </si>
  <si>
    <t>Fondo Svalutazione Crediti v/Erario</t>
  </si>
  <si>
    <t>Privati paganti</t>
  </si>
  <si>
    <t>Crediti verso soggetti esteri</t>
  </si>
  <si>
    <t>Altri crediti v/clienti privati</t>
  </si>
  <si>
    <t>Fondo Svalutazione Crediti v/clienti privati</t>
  </si>
  <si>
    <t>Crediti v/gestioni liquidatorie</t>
  </si>
  <si>
    <t>Fondo Svalutazione Crediti v/gestioni liquidatorie</t>
  </si>
  <si>
    <t>Crediti verso enti previdenziali per acconti pensione</t>
  </si>
  <si>
    <t>Crediti verso altre amministrazioni pubbliche</t>
  </si>
  <si>
    <t>Fondo Svalutazione Crediti v/altri soggetti pubblici</t>
  </si>
  <si>
    <t>Crediti v/altri soggetti pubblici per ricerca</t>
  </si>
  <si>
    <t>Fondo Svalutazione Crediti v/altri soggetti pubblici per ricerca</t>
  </si>
  <si>
    <t>Acconti, anticipi a personale</t>
  </si>
  <si>
    <t>Altri crediti verso personale</t>
  </si>
  <si>
    <t>Acconti a farmacie</t>
  </si>
  <si>
    <t>Acconti a fornitori</t>
  </si>
  <si>
    <t>Altri crediti diversi</t>
  </si>
  <si>
    <t>Fondo Svalutazione Altri crediti diversi</t>
  </si>
  <si>
    <t>Fondo Svalutazione  Altri Crediti verso erogatori (privati accreditati e convenzionati) di prestazioni sanitarie</t>
  </si>
  <si>
    <t>Note di credito da emettere (diversi)</t>
  </si>
  <si>
    <t>Altri Crediti verso erogatori (privati accreditati e convenzionati) di prestazioni sanitarie</t>
  </si>
  <si>
    <t>Note di credito da emettere  (privati accreditati e convenzionati)</t>
  </si>
  <si>
    <t>Partecipazioni in imprese controllate</t>
  </si>
  <si>
    <t>Partecipazioni in imprese collegate</t>
  </si>
  <si>
    <t>Partecipazioni in altre imprese</t>
  </si>
  <si>
    <t>Cassa economale</t>
  </si>
  <si>
    <t>Cassa prestazioni</t>
  </si>
  <si>
    <t>c/c di tesoreria</t>
  </si>
  <si>
    <t>c/c di tesoreria - delega</t>
  </si>
  <si>
    <t>Interessi attivi da liquidare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</si>
  <si>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</si>
  <si>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</si>
  <si>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</si>
  <si>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</si>
  <si>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</si>
  <si>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</si>
  <si>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</si>
  <si>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</si>
  <si>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</si>
  <si>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</si>
  <si>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</si>
  <si>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</si>
  <si>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</si>
  <si>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attivi v/Aziende sanitarie pubbliche della Regione</t>
  </si>
  <si>
    <t>Risconti attivi v/Aziende sanitarie pubbliche della Regione</t>
  </si>
  <si>
    <t>FONDO DI DOTAZIONE</t>
  </si>
  <si>
    <t>Finanziamenti da Stato per investimenti - ricerca</t>
  </si>
  <si>
    <t>Finanziamenti da Stato per investimenti - altro</t>
  </si>
  <si>
    <t>Contributi regionali in c/capitale indistinti</t>
  </si>
  <si>
    <t>Contributi regionali in c/capitale vincolati</t>
  </si>
  <si>
    <t>Contributi per rimborso mutui</t>
  </si>
  <si>
    <t>Altri contributi</t>
  </si>
  <si>
    <t>RISERVE DA DONAZIONI E LASCITI VINCOLATI AD INVESTIMENTI</t>
  </si>
  <si>
    <t>Riserve da rivalutazioni</t>
  </si>
  <si>
    <t>Riserve da plusvalenze da reinvestire</t>
  </si>
  <si>
    <t>Contributi da reinvestire</t>
  </si>
  <si>
    <t>Riserve da utili di esercizio destinati ad investimenti</t>
  </si>
  <si>
    <t>Riserve diverse</t>
  </si>
  <si>
    <t>Contributi per copertura debiti al 31/12/2005</t>
  </si>
  <si>
    <t>Altro</t>
  </si>
  <si>
    <t>UTILI (PERDITE) PORTATI A NUOVO</t>
  </si>
  <si>
    <t>UTILE (PERDITA) D'ESERCIZIO</t>
  </si>
  <si>
    <t>FONDI PER IMPOSTE, ANCHE DIFFERITE</t>
  </si>
  <si>
    <t>Fondo rischi per cause civili ed oneri processuali</t>
  </si>
  <si>
    <t>Fondo rischi per contenzioso personale dipendente</t>
  </si>
  <si>
    <t>Fondo rischi connessi all'acquisto di prestazioni sanitarie da privato</t>
  </si>
  <si>
    <t>Fondo rischi per copertura diretta dei rischi (autoassicurazione)</t>
  </si>
  <si>
    <t>Fondo rischi per franchigia assicurativa</t>
  </si>
  <si>
    <t>Fondo rischi per interessi di mora</t>
  </si>
  <si>
    <t>Fondo equo indennizzo</t>
  </si>
  <si>
    <t>Fondo accordi bonari</t>
  </si>
  <si>
    <t>Altri fondi rischi</t>
  </si>
  <si>
    <t>FSR indistinto da distribuire</t>
  </si>
  <si>
    <t>FSR vincolato da distribuire</t>
  </si>
  <si>
    <t>Fondo per ripiano disavanzi pregressi</t>
  </si>
  <si>
    <t>Fondo finanziamento sanitario aggiuntivo corrente LEA</t>
  </si>
  <si>
    <t>Fondo finanziamento sanitario aggiuntivo corrente extra LEA</t>
  </si>
  <si>
    <t>Fondo finanziamento per ricerca</t>
  </si>
  <si>
    <t>Fondo finanziamento per investimenti</t>
  </si>
  <si>
    <t>Fondo finanziamento sanitario aggiuntivo corrente (extra fondo) - Risorse aggiuntive da bilancio regionale a titolo di copertura extra LEA</t>
  </si>
  <si>
    <t>Quote inutilizzate contributi da Regione o Prov. Aut. per quota F.S. vincolato</t>
  </si>
  <si>
    <t>Quote inutilizzate contributi vincolati da soggetti pubblici (extra fondo)</t>
  </si>
  <si>
    <t>Quote inutilizzate contributi per ricerca</t>
  </si>
  <si>
    <t>Quote inutilizzate contributi vincolati da privati - sperimentazioni</t>
  </si>
  <si>
    <t>Quote inutilizzate contributi vincolati da privati - altro</t>
  </si>
  <si>
    <t>Fondi integrativi pensione</t>
  </si>
  <si>
    <t>Fondo rinnovi convenzioni MMG/PLS/MCA</t>
  </si>
  <si>
    <t>Fondo rinnovi convenzioni medici Sumai</t>
  </si>
  <si>
    <t>Fondo oneri personale in quiescienza</t>
  </si>
  <si>
    <t>Altri fondi per oneri e spese</t>
  </si>
  <si>
    <t>Altri Fondi incentivi funzioni tecniche Art. 113 D.Lgs 50/2016</t>
  </si>
  <si>
    <t>FONDO PER PREMI OPEROSITA' MEDICI SUMAI</t>
  </si>
  <si>
    <t>FONDO PER TRATTAMENTO DI FINE RAPPORTO DIPENDENTI</t>
  </si>
  <si>
    <t>FONDO PER TRATTAMENTI DI QUIESCENZA E SIMILI</t>
  </si>
  <si>
    <t>DEBITI PER MUTUI PASSIVI</t>
  </si>
  <si>
    <t>Debiti v/Stato per mobilità passiva extraregionale</t>
  </si>
  <si>
    <t>Debiti v/Stato per mobilità passiva internazionale</t>
  </si>
  <si>
    <t>Acconto quota FSR v/Stato</t>
  </si>
  <si>
    <t>Debiti v/Stato per restituzione finanziamenti - per ricerca</t>
  </si>
  <si>
    <t>Altri debiti v/Stato</t>
  </si>
  <si>
    <t>Debiti v/Regione o Provincia Autonoma per finanziamenti - GSA</t>
  </si>
  <si>
    <t>Debiti v/Regione o Provincia Autonoma per finanziamenti</t>
  </si>
  <si>
    <t>Debiti v/Regione o Provincia Autonoma per mobilità passiva intraregionale</t>
  </si>
  <si>
    <t>Debiti v/Regione o Provincia Autonoma per mobilità passiva extraregionale</t>
  </si>
  <si>
    <t>Debiti v/Regione o Provincia Autonoma per mobilità passiva internazionale</t>
  </si>
  <si>
    <t>Acconto quota FSR da Regione o Provincia Autonoma</t>
  </si>
  <si>
    <t>Acconto da Regione o Provincia Autonoma per anticipazione ripiano disavanzo programmato dai Piani aziendali di cui all'art. 1, comma 528, L. 208/2015</t>
  </si>
  <si>
    <t>Altri debiti v/Regione o Provincia Autonoma - GSA</t>
  </si>
  <si>
    <t>Altri debiti v/Regione o Provincia Autonoma - vincolati a progetti europei</t>
  </si>
  <si>
    <t>Altri debiti v/Regione o Provincia Autonoma - vincolati a progetti ministeriali</t>
  </si>
  <si>
    <t>Altri debiti v/Regione o Provincia Autonoma</t>
  </si>
  <si>
    <t>Debiti verso comuni</t>
  </si>
  <si>
    <t>Debiti v/Aziende sanitarie pubbliche della Regione - per quota FSR</t>
  </si>
  <si>
    <t>Debiti v/Aziende sanitarie pubbliche della Regione - per finanziamento sanitario aggiuntivo corrente LEA</t>
  </si>
  <si>
    <t>Debiti v/Aziende sanitarie pubbliche della Regione - per finanziamento sanitario aggiuntivo corrente extra LEA</t>
  </si>
  <si>
    <t>Debiti v/Aziende sanitarie pubbliche della Regione - per mobilità in compensazione</t>
  </si>
  <si>
    <t>Debiti v/Aziende sanitarie pubbliche della Regione - per mobilità non in compensazione</t>
  </si>
  <si>
    <t>Debiti verso aziende sanitarie della Regione - per altre prestazioni</t>
  </si>
  <si>
    <t>Debiti v/Aziende sanitarie pubbliche della Regione - altre prestazioni per STP</t>
  </si>
  <si>
    <t>Debiti verso aziende sanitarie extra regionali</t>
  </si>
  <si>
    <t>Debiti v/Aziende sanitarie pubbliche della Regione per versamenti c/patrimonio netto - finanziamenti per investimenti</t>
  </si>
  <si>
    <t>Debiti v/Aziende sanitarie pubbliche della Regione per versamenti c/patrimonio netto - ripiano perdite</t>
  </si>
  <si>
    <t>Debiti v/Aziende sanitarie pubbliche della Regione per anticipazione ripiano disavanzo programmato dai Piani aziendali di cui all'art. 1, comma 528, L. 208/2015</t>
  </si>
  <si>
    <t>Debiti v/Aziende sanitarie pubbliche della Regione per versamenti c/patrimonio netto - altro</t>
  </si>
  <si>
    <t>Debiti v/enti regionali</t>
  </si>
  <si>
    <t>Debiti v/sperimentazioni gestionali</t>
  </si>
  <si>
    <t>Debiti v/altre partecipate</t>
  </si>
  <si>
    <t>Note di credito da ricevere (privati accreditati e convenzionati)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</si>
  <si>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</si>
  <si>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</si>
  <si>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</si>
  <si>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</si>
  <si>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</si>
  <si>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</si>
  <si>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Anticipazioni</t>
  </si>
  <si>
    <t>Interessi passivi da liquidare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</si>
  <si>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</si>
  <si>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</si>
  <si>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</si>
  <si>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</si>
  <si>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</si>
  <si>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</si>
  <si>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</si>
  <si>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</si>
  <si>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</si>
  <si>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</si>
  <si>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</si>
  <si>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</si>
  <si>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</si>
  <si>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</si>
  <si>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</si>
  <si>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v/altri finanziatori</t>
  </si>
  <si>
    <t>Debiti CCNL da liquidare</t>
  </si>
  <si>
    <t>Debiti vs gestione stralcio 1</t>
  </si>
  <si>
    <t>Debiti vs gestione stralcio 2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</si>
  <si>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</si>
  <si>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</si>
  <si>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</si>
  <si>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</si>
  <si>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</si>
  <si>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</si>
  <si>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</si>
  <si>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</si>
  <si>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</si>
  <si>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</si>
  <si>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</si>
  <si>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</si>
  <si>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Altri debiti</t>
  </si>
  <si>
    <t>Debiti per fatture ricevute e da ricevere</t>
  </si>
  <si>
    <t>Note di credito da ricevere</t>
  </si>
  <si>
    <t>Ratei passivi v/Aziende sanitarie pubbliche della Regione</t>
  </si>
  <si>
    <t>Risconti passivi v/Aziende sanitarie pubbliche della Regione</t>
  </si>
  <si>
    <t>SCHEMA DI RENDICONTO FINANZIARIO</t>
  </si>
  <si>
    <t>ANNO 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</si>
  <si>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</si>
  <si>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</si>
  <si>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</si>
  <si>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</si>
  <si>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</si>
  <si>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</si>
  <si>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</si>
  <si>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</si>
  <si>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</si>
  <si>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</si>
  <si>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</si>
  <si>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</si>
  <si>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</si>
  <si>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</si>
  <si>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</si>
  <si>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</si>
  <si>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</si>
  <si>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</si>
  <si>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</si>
  <si>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</si>
  <si>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</si>
  <si>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</si>
  <si>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</si>
  <si>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</si>
  <si>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</si>
  <si>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</si>
  <si>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</si>
  <si>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</si>
  <si>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</si>
  <si>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</si>
  <si>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</si>
  <si>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</si>
  <si>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</si>
  <si>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</si>
  <si>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</si>
  <si>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</si>
  <si>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</si>
  <si>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</si>
  <si>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SOLO PER GSA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</si>
  <si>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</si>
  <si>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</si>
  <si>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</si>
  <si>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</si>
  <si>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</si>
  <si>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</si>
  <si>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</si>
  <si>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</si>
  <si>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</si>
  <si>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</si>
  <si>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</si>
  <si>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</si>
  <si>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</si>
  <si>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'posta a pareggio svalutazioni e fondi svalutazione = '- svalutazioni crediti + utilizzi fondi svalutazioni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</si>
  <si>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</si>
  <si>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</si>
  <si>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</si>
  <si>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</si>
  <si>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</si>
  <si>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</si>
  <si>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COMPILARE MANUALMENTE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</si>
  <si>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</si>
  <si>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</si>
  <si>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</si>
  <si>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</si>
  <si>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</si>
  <si>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</si>
  <si>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</si>
  <si>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</si>
  <si>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</si>
  <si>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</si>
  <si>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</si>
  <si>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</si>
  <si>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</si>
  <si>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</si>
  <si>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</si>
  <si>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</si>
  <si>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</si>
  <si>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</si>
  <si>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</si>
  <si>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</si>
  <si>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</si>
  <si>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</si>
  <si>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</si>
  <si>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</si>
  <si>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</si>
  <si>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</si>
  <si>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</si>
  <si>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</si>
  <si>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</si>
  <si>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</si>
  <si>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</si>
  <si>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</si>
  <si>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</si>
  <si>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</si>
  <si>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</si>
  <si>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</si>
  <si>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Totale = - SP A) Immobilizzazioni - Ammortamenti - svalutazioni + Utilizzi fondo svalutazioni + Fornitori x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</si>
  <si>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</si>
  <si>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</si>
  <si>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</si>
  <si>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</si>
  <si>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</si>
  <si>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</si>
  <si>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</si>
  <si>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</si>
  <si>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</si>
  <si>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</si>
  <si>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</si>
  <si>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</si>
  <si>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</si>
  <si>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</si>
  <si>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</si>
  <si>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</si>
  <si>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</si>
  <si>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</si>
  <si>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2024</t>
  </si>
  <si>
    <t>VARIAZIONE 2024/2023</t>
  </si>
  <si>
    <t>IMPORTO
2024</t>
  </si>
  <si>
    <t>Importo
2024</t>
  </si>
  <si>
    <t>ANNO 2024</t>
  </si>
  <si>
    <t>SEGNO</t>
  </si>
  <si>
    <t>A</t>
  </si>
  <si>
    <t>ATTIVO</t>
  </si>
  <si>
    <t>010100000000000</t>
  </si>
  <si>
    <t>210100100000000</t>
  </si>
  <si>
    <t>SEGNO NEGATIVO</t>
  </si>
  <si>
    <t>010200000000000</t>
  </si>
  <si>
    <t>210100200000000</t>
  </si>
  <si>
    <t>A.I.3.a) Diritti di brevetto e diritti di utilizzazione delle opere d'ingegno - derivanti dall'attività di  ricerca</t>
  </si>
  <si>
    <t>010300100000000</t>
  </si>
  <si>
    <t>210100300000000</t>
  </si>
  <si>
    <t>010300200000000</t>
  </si>
  <si>
    <t>210100400000000</t>
  </si>
  <si>
    <t>010400000000000</t>
  </si>
  <si>
    <t>010500100000000</t>
  </si>
  <si>
    <t>210100500000000</t>
  </si>
  <si>
    <t>010500200000000</t>
  </si>
  <si>
    <t>210100600000000</t>
  </si>
  <si>
    <t>010500300000000</t>
  </si>
  <si>
    <t>210100700000000</t>
  </si>
  <si>
    <t>010500400000000</t>
  </si>
  <si>
    <t>210100800000000</t>
  </si>
  <si>
    <t>210300100000000</t>
  </si>
  <si>
    <t>210300200000000</t>
  </si>
  <si>
    <t>210300300000000</t>
  </si>
  <si>
    <t>210300400000000</t>
  </si>
  <si>
    <t>A.II) IMMOBILIZZAZIONI MATERIALI</t>
  </si>
  <si>
    <t>020100100000000</t>
  </si>
  <si>
    <t>020100200000000</t>
  </si>
  <si>
    <t>020200100000000</t>
  </si>
  <si>
    <t>210200100000000</t>
  </si>
  <si>
    <t>020200200000000</t>
  </si>
  <si>
    <t>210200200000000</t>
  </si>
  <si>
    <t>020300000000000</t>
  </si>
  <si>
    <t>210200300000000</t>
  </si>
  <si>
    <t>020400000000000</t>
  </si>
  <si>
    <t>210200400000000</t>
  </si>
  <si>
    <t>020500000000000</t>
  </si>
  <si>
    <t>210200500000000</t>
  </si>
  <si>
    <t>020600000000000</t>
  </si>
  <si>
    <t>210200600000000</t>
  </si>
  <si>
    <t>020700000000000</t>
  </si>
  <si>
    <t>020800000000000</t>
  </si>
  <si>
    <t>210200700000000</t>
  </si>
  <si>
    <t>020900000000000</t>
  </si>
  <si>
    <t>210400050000000</t>
  </si>
  <si>
    <t>210400100000000</t>
  </si>
  <si>
    <t>210400150000000</t>
  </si>
  <si>
    <t>210400200000000</t>
  </si>
  <si>
    <t>210400300000000</t>
  </si>
  <si>
    <t>210400400000000</t>
  </si>
  <si>
    <t>210400500000000</t>
  </si>
  <si>
    <t>210400600000000</t>
  </si>
  <si>
    <t>210400700000000</t>
  </si>
  <si>
    <t>210400800000000</t>
  </si>
  <si>
    <t>A.III) IMMOBILIZZAZIONI FINANZIARIE</t>
  </si>
  <si>
    <t>030100100000000</t>
  </si>
  <si>
    <t>210500100000000</t>
  </si>
  <si>
    <t>030100200000000</t>
  </si>
  <si>
    <t>210500101000000</t>
  </si>
  <si>
    <t>030100300000000</t>
  </si>
  <si>
    <t>210500102000000</t>
  </si>
  <si>
    <t>030100400100000</t>
  </si>
  <si>
    <t>030100400200000</t>
  </si>
  <si>
    <t>030100400300000</t>
  </si>
  <si>
    <t>210500103000000</t>
  </si>
  <si>
    <t>030200100000000</t>
  </si>
  <si>
    <t>030200200100000</t>
  </si>
  <si>
    <t>030200200200000</t>
  </si>
  <si>
    <t>030200200300000</t>
  </si>
  <si>
    <t>030200200400000</t>
  </si>
  <si>
    <t>100100100100000</t>
  </si>
  <si>
    <t>Rim. medicinali con AIC, ad eccezione di vaccini ed emoderivati di produzione regionale</t>
  </si>
  <si>
    <t>100100100200000</t>
  </si>
  <si>
    <t>Rim. medicinali senza AIC</t>
  </si>
  <si>
    <t>100100100300000</t>
  </si>
  <si>
    <t>Rim. emoderivati di produzione regionale</t>
  </si>
  <si>
    <t>100100200000000</t>
  </si>
  <si>
    <t>Rim. sangue ed emocomponenti</t>
  </si>
  <si>
    <t>100100300100000</t>
  </si>
  <si>
    <t>Rim. dispositivi medici</t>
  </si>
  <si>
    <t>100100300200000</t>
  </si>
  <si>
    <t>Rim. dispositivi medici impiantabili attivi</t>
  </si>
  <si>
    <t>100100300300000</t>
  </si>
  <si>
    <t>Rim. dispositivi medico diagnostici in vitro (IVD)</t>
  </si>
  <si>
    <t>100100400000000</t>
  </si>
  <si>
    <t>Rim. prodotti dietetici</t>
  </si>
  <si>
    <t>100100500000000</t>
  </si>
  <si>
    <t>Rim. materiali per la profilassi (vaccini)</t>
  </si>
  <si>
    <t>100100600000000</t>
  </si>
  <si>
    <t>Rim. prodotti chimici</t>
  </si>
  <si>
    <t>100100700000000</t>
  </si>
  <si>
    <t>Rim. materiali e prodotti per uso veterinario</t>
  </si>
  <si>
    <t>100100800000000</t>
  </si>
  <si>
    <t>Rim. altri beni e prodotti sanitari</t>
  </si>
  <si>
    <t>100100900000000</t>
  </si>
  <si>
    <t>100200100000000</t>
  </si>
  <si>
    <t>Rim. prodotti alimentari</t>
  </si>
  <si>
    <t>100200200000000</t>
  </si>
  <si>
    <t>Rim. materiali di guardaroba, di pulizia, e di convivenza in genere</t>
  </si>
  <si>
    <t>100200300000000</t>
  </si>
  <si>
    <t>Rim. combustibili, carburanti e lubrificanti</t>
  </si>
  <si>
    <t>100200400000000</t>
  </si>
  <si>
    <t>Rim. supporti informatici e cancelleria</t>
  </si>
  <si>
    <t>100200500000000</t>
  </si>
  <si>
    <t>Rim. materiale per la manutenzione</t>
  </si>
  <si>
    <t>100200600000000</t>
  </si>
  <si>
    <t>Rim. altri beni e prodotti non sanitari</t>
  </si>
  <si>
    <t>100200700000000</t>
  </si>
  <si>
    <t>B.II) CREDITI</t>
  </si>
  <si>
    <t>110100050000000</t>
  </si>
  <si>
    <t>210500200000000</t>
  </si>
  <si>
    <t>110100100000000</t>
  </si>
  <si>
    <t>210500201000000</t>
  </si>
  <si>
    <t>110100200000000</t>
  </si>
  <si>
    <t>210500202000000</t>
  </si>
  <si>
    <t>110100300000000</t>
  </si>
  <si>
    <t>210500203000000</t>
  </si>
  <si>
    <t>110100400000000</t>
  </si>
  <si>
    <t>210500204000000</t>
  </si>
  <si>
    <t>110100500000000</t>
  </si>
  <si>
    <t>210500205000000</t>
  </si>
  <si>
    <t>110100600100000</t>
  </si>
  <si>
    <t>110100600800000</t>
  </si>
  <si>
    <t>Crediti per fatture e ricevute da emettere v/Stato per spesa corrente</t>
  </si>
  <si>
    <t>110100600900000</t>
  </si>
  <si>
    <t>Note di credito da emettere v/Stato per spesa corrente</t>
  </si>
  <si>
    <t>210500206000000</t>
  </si>
  <si>
    <t>B.II.1.h) Crediti v/Stato per spesa corrente  per STP (ex D.Lgs. 286/98)</t>
  </si>
  <si>
    <t>110100650000000</t>
  </si>
  <si>
    <t>210500212000000</t>
  </si>
  <si>
    <t>110100700000000</t>
  </si>
  <si>
    <t>210500207000000</t>
  </si>
  <si>
    <t>110100800100000</t>
  </si>
  <si>
    <t>210500208000000</t>
  </si>
  <si>
    <t>110100800200000</t>
  </si>
  <si>
    <t>210500209000000</t>
  </si>
  <si>
    <t>B.II.1.j.3) Crediti v/Stato per ricerca - altre Amministrazioni centrali</t>
  </si>
  <si>
    <t>110100800301000</t>
  </si>
  <si>
    <t>110100800302000</t>
  </si>
  <si>
    <t>110100800309000</t>
  </si>
  <si>
    <t>Crediti verso altre Amministrazioni centrali</t>
  </si>
  <si>
    <t>210500210000000</t>
  </si>
  <si>
    <t>Fondo Svalutazione Crediti v/Stato per ricerca - altre Amministrazioni centrali</t>
  </si>
  <si>
    <t>110100800400000</t>
  </si>
  <si>
    <t>210500211000000</t>
  </si>
  <si>
    <t>110100900100000</t>
  </si>
  <si>
    <t>110100900800000</t>
  </si>
  <si>
    <t>Crediti per fatture e ricevute da emettere v/prefetture</t>
  </si>
  <si>
    <t>110100900900000</t>
  </si>
  <si>
    <t>Note di credito da emettere v/prefetture</t>
  </si>
  <si>
    <t>210500300000000</t>
  </si>
  <si>
    <t>110200100200000</t>
  </si>
  <si>
    <t>210500402000000</t>
  </si>
  <si>
    <t>110200100300000</t>
  </si>
  <si>
    <t>210500403000000</t>
  </si>
  <si>
    <t>110200100400000</t>
  </si>
  <si>
    <t>210500404000000</t>
  </si>
  <si>
    <t>110200100500000</t>
  </si>
  <si>
    <t>210500405000000</t>
  </si>
  <si>
    <t>B.II.2.a.5) Crediti v/Regione o Provincia Autonoma per finanziamento sanitario aggiuntivo  corrente LEA</t>
  </si>
  <si>
    <t>110200100600000</t>
  </si>
  <si>
    <t>210500406000000</t>
  </si>
  <si>
    <t>B.II.2.a.6) Crediti v/Regione o Provincia Autonoma per finanziamento sanitario aggiuntivo  corrente extra LEA</t>
  </si>
  <si>
    <t>110200100700000</t>
  </si>
  <si>
    <t>210500407000000</t>
  </si>
  <si>
    <t>110200100801000</t>
  </si>
  <si>
    <t>110200100808000</t>
  </si>
  <si>
    <t>Crediti per fatture e ricevute da emettere v/Regione o Provincia Autonoma per spesa corrente</t>
  </si>
  <si>
    <t>110200100809000</t>
  </si>
  <si>
    <t>Note di credito da emettere v/Regione o Provincia Autonoma per spesa corrente</t>
  </si>
  <si>
    <t>210500408000000</t>
  </si>
  <si>
    <t>B.II.2.a.8) Crediti v/Regione o Provincia Autonoma per spesa corrente - STP (ex D.Lgs. 286/98)</t>
  </si>
  <si>
    <t>110200100850000</t>
  </si>
  <si>
    <t>210500415000000</t>
  </si>
  <si>
    <t>110200100901000</t>
  </si>
  <si>
    <t>110200100902000</t>
  </si>
  <si>
    <t>110200100903000</t>
  </si>
  <si>
    <t>110200100909000</t>
  </si>
  <si>
    <t>210500409000000</t>
  </si>
  <si>
    <t>110200100950000</t>
  </si>
  <si>
    <t>210500416000000</t>
  </si>
  <si>
    <t>110200200100000</t>
  </si>
  <si>
    <t>210500410000000</t>
  </si>
  <si>
    <t>110200200200000</t>
  </si>
  <si>
    <t>210500411000000</t>
  </si>
  <si>
    <t>110200200300000</t>
  </si>
  <si>
    <t>210500412000000</t>
  </si>
  <si>
    <t>B.II.2.b.4) Crediti v/Regione o Provincia Autonoma per anticipazione ripiano disavanzo programmato dai Piani aziendali di cui all'art.1, comma 528, L. 208/2015</t>
  </si>
  <si>
    <t>110200200350000</t>
  </si>
  <si>
    <t>110200200400000</t>
  </si>
  <si>
    <t>210500413000000</t>
  </si>
  <si>
    <t>B.II.2.b.6) Crediti v/Regione o Provincia Autonoma per ricostituzione risorse da investimenti  esercizi precedenti</t>
  </si>
  <si>
    <t>110200200500000</t>
  </si>
  <si>
    <t>210500414000000</t>
  </si>
  <si>
    <t>B.II.2.c) Crediti v/Regione o Provincia Autonoma per contributi L. 210/92</t>
  </si>
  <si>
    <t>110200300000000</t>
  </si>
  <si>
    <t>Crediti v/Regione o Provincia Autonoma per contributi L. 210/92</t>
  </si>
  <si>
    <t>B.II.2.d) Crediti v/Regione o Provincia Autonoma per contributi L. 210/92 - aziende sanitarie</t>
  </si>
  <si>
    <t>110200400000000</t>
  </si>
  <si>
    <t>110300100000000</t>
  </si>
  <si>
    <t>110300800000000</t>
  </si>
  <si>
    <t>Crediti per fatture e ricevute da emettere v/Comuni</t>
  </si>
  <si>
    <t>110300900000000</t>
  </si>
  <si>
    <t>Note di credito da emettere v/Comuni</t>
  </si>
  <si>
    <t>210500500000000</t>
  </si>
  <si>
    <t>110400100100000</t>
  </si>
  <si>
    <t>110400100201000</t>
  </si>
  <si>
    <t>110400100208000</t>
  </si>
  <si>
    <t>Crediti per fatture e ricevute da emettere v/Aziende sanitarie pubbliche della Regione - per mobilità non in compensazione</t>
  </si>
  <si>
    <t>110400100209000</t>
  </si>
  <si>
    <t>Note di credito da emettere v/Aziende sanitarie pubbliche della Regione - per mobilità non in compensazione</t>
  </si>
  <si>
    <t>110400100301000</t>
  </si>
  <si>
    <t>110400100308000</t>
  </si>
  <si>
    <t>Crediti per fatture e ricevute da emettere v/Aziende sanitarie pubbliche della Regione - per altre prestazioni</t>
  </si>
  <si>
    <t>110400100309000</t>
  </si>
  <si>
    <t>Note di credito da emettere v/Aziende sanitarie pubbliche della Regione - per altre prestazioni</t>
  </si>
  <si>
    <t>110400200000000</t>
  </si>
  <si>
    <t>B.II.4.c) Crediti v/Aziende sanitarie pubbliche della Regione  per anticipazione ripiano disavanzo programmato dai Piani aziendali di cui all'art.1, comma 528, L. 208/2015</t>
  </si>
  <si>
    <t>110400250000000</t>
  </si>
  <si>
    <t>Crediti v/Aziende sanitarie pubbliche della Regione per anticipazione ripiano disavanzo programmato dai Piani aziendali di cui all'art. 1, comma 528, L. 208/2015</t>
  </si>
  <si>
    <t>USO GSA</t>
  </si>
  <si>
    <t>110400300100000</t>
  </si>
  <si>
    <t>110400300800000</t>
  </si>
  <si>
    <t>Crediti per fatture e ricevute da emettere v/Aziende sanitarie pubbliche Extraregione</t>
  </si>
  <si>
    <t>110400300900000</t>
  </si>
  <si>
    <t>Note di credito da emettere v/Aziende sanitarie pubbliche Extraregione</t>
  </si>
  <si>
    <t>210500604000000</t>
  </si>
  <si>
    <t>B.II.4.e) Crediti v/Aziende sanitarie pubbliche della Regione  - per Contributi da Aziende sanitarie pubbliche della regione o Prov. Aut. (extra fondo)</t>
  </si>
  <si>
    <t>110400350000000</t>
  </si>
  <si>
    <t>Crediti v/Aziende sanitarie pubbliche della Regione - per Contributi da Aziende sanitarie pubbliche della Regione o Prov. Aut. (extra fondo)</t>
  </si>
  <si>
    <t>110500100000000</t>
  </si>
  <si>
    <t>210500700000000</t>
  </si>
  <si>
    <t>110500200000000</t>
  </si>
  <si>
    <t>210500701000000</t>
  </si>
  <si>
    <t>110500300100000</t>
  </si>
  <si>
    <t>110500300800000</t>
  </si>
  <si>
    <t>Crediti per fatture e ricevute da emettere v/altre partecipate</t>
  </si>
  <si>
    <t>110500300900000</t>
  </si>
  <si>
    <t>Note di credito da emettere v/altre partecipate</t>
  </si>
  <si>
    <t>210500702000000</t>
  </si>
  <si>
    <t>110600100000000</t>
  </si>
  <si>
    <t>Crediti v/Erario IRES</t>
  </si>
  <si>
    <t>110600200000000</t>
  </si>
  <si>
    <t>Crediti v/Erario IRAP</t>
  </si>
  <si>
    <t>110600300000000</t>
  </si>
  <si>
    <t>110600300000010</t>
  </si>
  <si>
    <t>IVA c/acquisti - SPLIT PAYMENT ACQUISTI COMMERCIALI</t>
  </si>
  <si>
    <t>110600400000000</t>
  </si>
  <si>
    <t>110600500000000</t>
  </si>
  <si>
    <t>110600600000000</t>
  </si>
  <si>
    <t>210500703000000</t>
  </si>
  <si>
    <t>110700100100000</t>
  </si>
  <si>
    <t>110700100200000</t>
  </si>
  <si>
    <t>110700100300000</t>
  </si>
  <si>
    <t>110700100800000</t>
  </si>
  <si>
    <t>Crediti per fatture e ricevute da emettere v/clienti privati</t>
  </si>
  <si>
    <t>110700100900000</t>
  </si>
  <si>
    <t>Note di credito da emettere v/clienti privati</t>
  </si>
  <si>
    <t>210500900000000</t>
  </si>
  <si>
    <t>110700200000000</t>
  </si>
  <si>
    <t>210500901000000</t>
  </si>
  <si>
    <t>110700300100000</t>
  </si>
  <si>
    <t>110700300200000</t>
  </si>
  <si>
    <t>110700300800000</t>
  </si>
  <si>
    <t>Crediti per fatture e ricevute da emettere v/altri soggetti pubblici</t>
  </si>
  <si>
    <t>110700300900000</t>
  </si>
  <si>
    <t>Note di credito da emettere v/altri soggetti pubblici</t>
  </si>
  <si>
    <t>210500902000000</t>
  </si>
  <si>
    <t>110700400000000</t>
  </si>
  <si>
    <t>210500903000000</t>
  </si>
  <si>
    <t>B.II.7.e.1) Altri crediti diversi</t>
  </si>
  <si>
    <t>110700500100000</t>
  </si>
  <si>
    <t>110700500150000</t>
  </si>
  <si>
    <t>110700500200000</t>
  </si>
  <si>
    <t>110700500300000</t>
  </si>
  <si>
    <t>110700500400000</t>
  </si>
  <si>
    <t>Crediti per depositi cauzionali</t>
  </si>
  <si>
    <t>110700500900000</t>
  </si>
  <si>
    <t>210500990000000</t>
  </si>
  <si>
    <t>210500991000000</t>
  </si>
  <si>
    <t>110700500910000</t>
  </si>
  <si>
    <t>110700600100000</t>
  </si>
  <si>
    <t>B.II.7.f.2) Note di credito da emettere (privati accreditati e convenzionati)</t>
  </si>
  <si>
    <t>110700600200000</t>
  </si>
  <si>
    <t>120100100000000</t>
  </si>
  <si>
    <t>120100200000000</t>
  </si>
  <si>
    <t>120100300000000</t>
  </si>
  <si>
    <t>120200000000000</t>
  </si>
  <si>
    <t>1301001000000</t>
  </si>
  <si>
    <t>130100100100000</t>
  </si>
  <si>
    <t>Cassa economale gestione sanita</t>
  </si>
  <si>
    <t>130100100200000</t>
  </si>
  <si>
    <t>Cassa economale gestione delega</t>
  </si>
  <si>
    <t>1301002000000</t>
  </si>
  <si>
    <t>130100200100000</t>
  </si>
  <si>
    <t>Cassa prestazioni CUP</t>
  </si>
  <si>
    <t>130100200200000</t>
  </si>
  <si>
    <t>Cassa prestazioni CUP - CASSE AUTOMATICHE</t>
  </si>
  <si>
    <t>130200100000000</t>
  </si>
  <si>
    <t>130200100000040</t>
  </si>
  <si>
    <t>Banca C/Carta Contabile Entrata</t>
  </si>
  <si>
    <t>130200100000050</t>
  </si>
  <si>
    <t>Banca C/Carta Contabile Uscita</t>
  </si>
  <si>
    <t>130200110000000</t>
  </si>
  <si>
    <t>130200200000000</t>
  </si>
  <si>
    <t>130300000000000</t>
  </si>
  <si>
    <t>130400100000000</t>
  </si>
  <si>
    <t>Conto corrente postale generale</t>
  </si>
  <si>
    <t>130400110000000</t>
  </si>
  <si>
    <t>Conto corrente postale veterinaria</t>
  </si>
  <si>
    <t>130400120000000</t>
  </si>
  <si>
    <t>Conto corrente postale prestazioni CUP</t>
  </si>
  <si>
    <t>130400130000000</t>
  </si>
  <si>
    <t>Conto corrente postale delega</t>
  </si>
  <si>
    <t>130400200000000</t>
  </si>
  <si>
    <t>Deposito affrancatrice</t>
  </si>
  <si>
    <t>1309000000000</t>
  </si>
  <si>
    <t>130900100000000</t>
  </si>
  <si>
    <t>130900200000000</t>
  </si>
  <si>
    <t>130900300000000</t>
  </si>
  <si>
    <t>130900301000000</t>
  </si>
  <si>
    <t>130900302000000</t>
  </si>
  <si>
    <t>130900303000000</t>
  </si>
  <si>
    <t>130900304000000</t>
  </si>
  <si>
    <t>130900305000000</t>
  </si>
  <si>
    <t>130900306000000</t>
  </si>
  <si>
    <t>130900307000000</t>
  </si>
  <si>
    <t>130900308000000</t>
  </si>
  <si>
    <t>130900309000000</t>
  </si>
  <si>
    <t>140100100000000</t>
  </si>
  <si>
    <t>140100200000000</t>
  </si>
  <si>
    <t>140200100000000</t>
  </si>
  <si>
    <t>140200200000000</t>
  </si>
  <si>
    <t>195100000000000</t>
  </si>
  <si>
    <t>C.O.A. CANONI DI LEASING ANCORA DA PAGARE</t>
  </si>
  <si>
    <t>195200000000000</t>
  </si>
  <si>
    <t>C.O.A. DEPOSITI CAUZIONALI</t>
  </si>
  <si>
    <t>195300000000000</t>
  </si>
  <si>
    <t>C.O.A. BENI IN COMODATO</t>
  </si>
  <si>
    <t>195350000000000</t>
  </si>
  <si>
    <t>C.O.A. CANONI DI PROJECT FINANCING ANCORA DA PAGARE</t>
  </si>
  <si>
    <t>195400100000000</t>
  </si>
  <si>
    <t>C.O.A. Beni di terzi presso l'Azienda</t>
  </si>
  <si>
    <t>195400200000000</t>
  </si>
  <si>
    <t>C.O.A. Garanzie prestate (fideiussioni, avalli, altre garanzie personali e reali)</t>
  </si>
  <si>
    <t>195400300000000</t>
  </si>
  <si>
    <t>C.O.A. Garanzie ricevute (fideiussioni, avalli, altre garanzie personali e reali)</t>
  </si>
  <si>
    <t>195400400000000</t>
  </si>
  <si>
    <t>C.O.A. Beni in contenzioso</t>
  </si>
  <si>
    <t>195400900000000</t>
  </si>
  <si>
    <t>C.O.A. Altri impegni assunti</t>
  </si>
  <si>
    <t>P</t>
  </si>
  <si>
    <t>Passivo</t>
  </si>
  <si>
    <t>200100000000000</t>
  </si>
  <si>
    <t>200200100000000</t>
  </si>
  <si>
    <t>200200200100000</t>
  </si>
  <si>
    <t>200200200200000</t>
  </si>
  <si>
    <t>200200200300000</t>
  </si>
  <si>
    <t>200200300100000</t>
  </si>
  <si>
    <t>200200300200000</t>
  </si>
  <si>
    <t>200200400100000</t>
  </si>
  <si>
    <t>200200400200000</t>
  </si>
  <si>
    <t>200200500000000</t>
  </si>
  <si>
    <t>200300000000000</t>
  </si>
  <si>
    <t>200400100000000</t>
  </si>
  <si>
    <t>200400200000000</t>
  </si>
  <si>
    <t>200400300000000</t>
  </si>
  <si>
    <t>200400400000000</t>
  </si>
  <si>
    <t>200400500000000</t>
  </si>
  <si>
    <t>200500100000000</t>
  </si>
  <si>
    <t>200500200000000</t>
  </si>
  <si>
    <t>Contributi per ricostituzione risorse da investimenti esercizi precedenti</t>
  </si>
  <si>
    <t>200500300000000</t>
  </si>
  <si>
    <t>200600000000000</t>
  </si>
  <si>
    <t>200700000000000</t>
  </si>
  <si>
    <t>220100000000000</t>
  </si>
  <si>
    <t>220200100000000</t>
  </si>
  <si>
    <t>220200200000000</t>
  </si>
  <si>
    <t>220200300000000</t>
  </si>
  <si>
    <t>220200400000000</t>
  </si>
  <si>
    <t>220200500000000</t>
  </si>
  <si>
    <t>220200600000000</t>
  </si>
  <si>
    <t>220200900100000</t>
  </si>
  <si>
    <t>220200900200000</t>
  </si>
  <si>
    <t>220200900900000</t>
  </si>
  <si>
    <t>220300100000000</t>
  </si>
  <si>
    <t>220300200000000</t>
  </si>
  <si>
    <t>220300300000000</t>
  </si>
  <si>
    <t>220300400000000</t>
  </si>
  <si>
    <t>220300500000000</t>
  </si>
  <si>
    <t>220300600000000</t>
  </si>
  <si>
    <t>220300700000000</t>
  </si>
  <si>
    <t>220300800000000</t>
  </si>
  <si>
    <t>B.IV.1) Quote inutilizzate contributi da Regione o Prov. Aut. Per quota F.S. indistinto finalizzato</t>
  </si>
  <si>
    <t>220400050000000</t>
  </si>
  <si>
    <t>Quote inutilizzate contributi da Regione o Prov. Aut. per quota F.S. indistinto finalizzato</t>
  </si>
  <si>
    <t>220400100000000</t>
  </si>
  <si>
    <t>220400200000000</t>
  </si>
  <si>
    <t>220400300000000</t>
  </si>
  <si>
    <t>220400400100000</t>
  </si>
  <si>
    <t>220400400900000</t>
  </si>
  <si>
    <t>220500100000000</t>
  </si>
  <si>
    <t>B.V.2.a) Fondo rinnovi contrattuali personale dipendente</t>
  </si>
  <si>
    <t>220500200100000</t>
  </si>
  <si>
    <t>Fondo rinnovi contrattuali personale dipendente</t>
  </si>
  <si>
    <t>220500200200000</t>
  </si>
  <si>
    <t>220500200300000</t>
  </si>
  <si>
    <t>220500900100000</t>
  </si>
  <si>
    <t>220500900900000</t>
  </si>
  <si>
    <t>B.V.4) Altri fondi per Incentivi per funzioni tecniche Art. 113 D.Lgs. 50/2016</t>
  </si>
  <si>
    <t>220500950000000</t>
  </si>
  <si>
    <t>230100000000000</t>
  </si>
  <si>
    <t>230200000000000</t>
  </si>
  <si>
    <t>C.III) FONDO PER TRATTAMENTO DI QUIESCENZA E SIMILI</t>
  </si>
  <si>
    <t>230300000000000</t>
  </si>
  <si>
    <t>240050000000000</t>
  </si>
  <si>
    <t>240100100000000</t>
  </si>
  <si>
    <t>240100200000000</t>
  </si>
  <si>
    <t>240100300000000</t>
  </si>
  <si>
    <t>240100400000000</t>
  </si>
  <si>
    <t>240100500100000</t>
  </si>
  <si>
    <t>Acconti su contributi v/Stato</t>
  </si>
  <si>
    <t>240100500200000</t>
  </si>
  <si>
    <t>240100500800000</t>
  </si>
  <si>
    <t>Debiti per fatture ricevute e da ricevere v/Stato</t>
  </si>
  <si>
    <t>240100500900000</t>
  </si>
  <si>
    <t>Note di credito da ricevere v/Stato</t>
  </si>
  <si>
    <t>240150100000000</t>
  </si>
  <si>
    <t>240150150000000</t>
  </si>
  <si>
    <t>240150200000000</t>
  </si>
  <si>
    <t>240150300000000</t>
  </si>
  <si>
    <t>240150350000000</t>
  </si>
  <si>
    <t>240150400000000</t>
  </si>
  <si>
    <t>240150410000000</t>
  </si>
  <si>
    <t>D.III.8) Debiti v/regione o Provincia Autonoma per contributi L. 210/92</t>
  </si>
  <si>
    <t>240150420000000</t>
  </si>
  <si>
    <t>Debiti v/Regione o Provincia Autonoma per contributi L. 210/92</t>
  </si>
  <si>
    <t>D.III.9) Altri debiti v/Regione o Provincia Autonoma - GSA</t>
  </si>
  <si>
    <t>240150430000000</t>
  </si>
  <si>
    <t>240150500100000</t>
  </si>
  <si>
    <t>240150500200000</t>
  </si>
  <si>
    <t>240150500300000</t>
  </si>
  <si>
    <t>240150500800000</t>
  </si>
  <si>
    <t xml:space="preserve">Debiti per fatture ricevute e da ricevere v/Regione o Provincia Autonoma </t>
  </si>
  <si>
    <t>240150500900000</t>
  </si>
  <si>
    <t xml:space="preserve">Note di credito da ricevere v/Regione o Provincia Autonoma </t>
  </si>
  <si>
    <t>240200100000000</t>
  </si>
  <si>
    <t>Acconti da comuni</t>
  </si>
  <si>
    <t>240200200000000</t>
  </si>
  <si>
    <t>240200800000000</t>
  </si>
  <si>
    <t>Debiti per fatture ricevute e da ricevere v/Comuni</t>
  </si>
  <si>
    <t>240200900000000</t>
  </si>
  <si>
    <t>Note di credito da ricevere v/Comuni</t>
  </si>
  <si>
    <t>240250100100000</t>
  </si>
  <si>
    <t>240250100200000</t>
  </si>
  <si>
    <t>240250100300000</t>
  </si>
  <si>
    <t>240250100400000</t>
  </si>
  <si>
    <t>240250100501000</t>
  </si>
  <si>
    <t>240250100508000</t>
  </si>
  <si>
    <t>Debiti per fatture ricevute e da ricevere v/Aziende sanitarie pubbliche della Regione - per mobilità non in compensazione</t>
  </si>
  <si>
    <t>240250100509000</t>
  </si>
  <si>
    <t>Note di credito da ricevere v/Aziende sanitarie pubbliche della Regione - per mobilità non in compensazione</t>
  </si>
  <si>
    <t>240250100601000</t>
  </si>
  <si>
    <t>240250100608000</t>
  </si>
  <si>
    <t>Debiti per fatture ricevute e da ricevere v/Aziende sanitarie pubbliche della Regione - per altre prestazioni</t>
  </si>
  <si>
    <t>240250100609000</t>
  </si>
  <si>
    <t>Note di credito da ricevere v/Aziende sanitarie pubbliche della Regione - per altre prestazioni</t>
  </si>
  <si>
    <t>D.V.1.g) Debiti v/Aziende sanitarie pubbliche della Regione - per altre prestazioni per STP</t>
  </si>
  <si>
    <t>240250100700000</t>
  </si>
  <si>
    <t>D.V.1.h) Debiti v/Aziende sanitarie pubbliche della Regione - per Contributi da Aziende sanitarie pubbliche della Regione o Prov. Aut. (extra fondo)</t>
  </si>
  <si>
    <t>240250100800000</t>
  </si>
  <si>
    <t>Debiti v/Aziende sanitarie pubbliche della Regione - per Contributi da Aziende sanitarie pubbliche della Regione o Prov. Aut. (extra fondo)</t>
  </si>
  <si>
    <t>D.V.1.i) Debiti v/Aziende sanitarie pubbliche della Regione - per contributi L. 210/92</t>
  </si>
  <si>
    <t>240250100900000</t>
  </si>
  <si>
    <t>Debiti v/Aziende sanitarie pubbliche della Regione - per contributi L. 210/92</t>
  </si>
  <si>
    <t>D.V.2) Debiti v/Aziende sanitarie pubbliche Extraregione</t>
  </si>
  <si>
    <t>240250200100000</t>
  </si>
  <si>
    <t>240250200800000</t>
  </si>
  <si>
    <t>Debiti per fatture ricevute e da ricevere v/Aziende sanitarie pubbliche Extraregione</t>
  </si>
  <si>
    <t>240250200900000</t>
  </si>
  <si>
    <t>Note di credito da ricevere v/Aziende sanitarie pubbliche Extraregione</t>
  </si>
  <si>
    <t>D.V.3.a) Debiti v/Aziende sanitarie pubbliche della Regione per versamenti c/patrimonio netto  - finanziamenti per investimenti</t>
  </si>
  <si>
    <t>240250300100000</t>
  </si>
  <si>
    <t>240250300200000</t>
  </si>
  <si>
    <t>Debiti v/Aziende sanitarie pubbliche della Regione per versamenti c/patrimonio netto - incremento fondo dotazione</t>
  </si>
  <si>
    <t>240250300300000</t>
  </si>
  <si>
    <t>240250300400000</t>
  </si>
  <si>
    <t>240250300500000</t>
  </si>
  <si>
    <t>240300100000000</t>
  </si>
  <si>
    <t>240300200000000</t>
  </si>
  <si>
    <t>240300300100000</t>
  </si>
  <si>
    <t>240300300800000</t>
  </si>
  <si>
    <t>Debiti per fatture ricevute e da ricevere v/altre partecipate</t>
  </si>
  <si>
    <t>240300300900000</t>
  </si>
  <si>
    <t>Note di credito da ricevere v/altre partecipate</t>
  </si>
  <si>
    <t>D.VII.1) Debiti verso erogatori (privati accreditati e convenzionati) di prestazioni sanitarie</t>
  </si>
  <si>
    <t>D.VII.1.a) Debiti verso erogatori (privati accreditati e convenzionati) di prestazioni sanitarie</t>
  </si>
  <si>
    <t>240350100100000</t>
  </si>
  <si>
    <t>Debiti verso erogatori (privati accreditati e convenzionati) di prestazioni sanitarie</t>
  </si>
  <si>
    <t>240350100800000</t>
  </si>
  <si>
    <t>Debiti per fatture ricevute e da ricevere verso erogatori (privati accreditati e convenzionati) di prestazioni sanitarie</t>
  </si>
  <si>
    <t>240350100900000</t>
  </si>
  <si>
    <t>240350200100000</t>
  </si>
  <si>
    <t>240350200200000</t>
  </si>
  <si>
    <t>240350200400000</t>
  </si>
  <si>
    <t>240350200500000</t>
  </si>
  <si>
    <t>240350200600000</t>
  </si>
  <si>
    <t>240350200800000</t>
  </si>
  <si>
    <t>Debiti per fatture ricevute e da ricevere verso altri fornitori</t>
  </si>
  <si>
    <t>D.VII.2.b) note di credito da ricevere (altri fornitori)</t>
  </si>
  <si>
    <t>240350200900000</t>
  </si>
  <si>
    <t>240400100000000</t>
  </si>
  <si>
    <t>240400200000000</t>
  </si>
  <si>
    <t>240450100000000</t>
  </si>
  <si>
    <t>240450200000000</t>
  </si>
  <si>
    <t>240450300000000</t>
  </si>
  <si>
    <t>240450400000000</t>
  </si>
  <si>
    <t>240450500000000</t>
  </si>
  <si>
    <t>240450600000000</t>
  </si>
  <si>
    <t>240450600000010</t>
  </si>
  <si>
    <t>Transitorio IVA Extra UE</t>
  </si>
  <si>
    <t>240450700000000</t>
  </si>
  <si>
    <t>240450800000000</t>
  </si>
  <si>
    <t>240450800000010</t>
  </si>
  <si>
    <t>IVA SPLITPAYMENT differita</t>
  </si>
  <si>
    <t>240450800000020</t>
  </si>
  <si>
    <t>IVA SPLITPAYMENT da Trasco locale</t>
  </si>
  <si>
    <t>240450900000000</t>
  </si>
  <si>
    <t>240500100000000</t>
  </si>
  <si>
    <t>240500200000000</t>
  </si>
  <si>
    <t>240500300000000</t>
  </si>
  <si>
    <t>240500400000000</t>
  </si>
  <si>
    <t>240500500000000</t>
  </si>
  <si>
    <t>240500600000000</t>
  </si>
  <si>
    <t>240500700000000</t>
  </si>
  <si>
    <t>240500800000000</t>
  </si>
  <si>
    <t>240500900000000</t>
  </si>
  <si>
    <t>debiti vs/altri istituti di previdenza</t>
  </si>
  <si>
    <t>240550100000000</t>
  </si>
  <si>
    <t>240550200100000</t>
  </si>
  <si>
    <t>Debiti verso personale dipendente</t>
  </si>
  <si>
    <t>240550200200000</t>
  </si>
  <si>
    <t>240550300100000</t>
  </si>
  <si>
    <t>240550300200000</t>
  </si>
  <si>
    <t>240550400050000</t>
  </si>
  <si>
    <t>240550400100000</t>
  </si>
  <si>
    <t>240550400150000</t>
  </si>
  <si>
    <t>240550400200000</t>
  </si>
  <si>
    <t>2405504002500</t>
  </si>
  <si>
    <t>Debiti v/personale convenzionato</t>
  </si>
  <si>
    <t>240550400251000</t>
  </si>
  <si>
    <t>240550400252000</t>
  </si>
  <si>
    <t>240550400300000</t>
  </si>
  <si>
    <t>240550400350000</t>
  </si>
  <si>
    <t>240550400400000</t>
  </si>
  <si>
    <t>2405504005000</t>
  </si>
  <si>
    <t>Debiti v/organi direttivi e istituzionali</t>
  </si>
  <si>
    <t>240550400501000</t>
  </si>
  <si>
    <t>240550400502000</t>
  </si>
  <si>
    <t>240550400550000</t>
  </si>
  <si>
    <t>240550400600000</t>
  </si>
  <si>
    <t>Depositi cauzionali v/organi direttivi e istituzionali</t>
  </si>
  <si>
    <t>2405504007000</t>
  </si>
  <si>
    <t>240550400701000</t>
  </si>
  <si>
    <t>Acconti su contributi</t>
  </si>
  <si>
    <t>240550400702000</t>
  </si>
  <si>
    <t>Altri debiti - altro</t>
  </si>
  <si>
    <t>240550400800000</t>
  </si>
  <si>
    <t>240550400900000</t>
  </si>
  <si>
    <t>250100100000000</t>
  </si>
  <si>
    <t>250100200000000</t>
  </si>
  <si>
    <t>250200100000000</t>
  </si>
  <si>
    <t>250200200000000</t>
  </si>
  <si>
    <t>E.II.3) Risconti passivi - in attuazione dell'art. 79, comma 1 sexies lettera c), del D.L. 112/2008, convertito con legge 133/2008 e della legge 23 dicembre 2009 n. 191</t>
  </si>
  <si>
    <t>250200300000000</t>
  </si>
  <si>
    <t>Risconti passivi - in attuazione dell'art.79, comma 1 sexies lettera c), del D.L. 112/2008, convertito con legge 133/2008 e della legge 23 dicembre 2009 n. 191.</t>
  </si>
  <si>
    <t>295100000000000</t>
  </si>
  <si>
    <t>C.O.P. CANONI DI LEASING ANCORA DA PAGARE</t>
  </si>
  <si>
    <t>295200000000000</t>
  </si>
  <si>
    <t>C.O.P. DEPOSITI CAUZIONALI</t>
  </si>
  <si>
    <t>295300000000000</t>
  </si>
  <si>
    <t>C.O.P. BENI IN COMODATO</t>
  </si>
  <si>
    <t>295350000000000</t>
  </si>
  <si>
    <t>C.O.P. CANONI DI PROJECT FINANCING ANCORA DA PAGARE</t>
  </si>
  <si>
    <t>295400100000000</t>
  </si>
  <si>
    <t>C.O.P. Beni di terzi presso l'Azienda</t>
  </si>
  <si>
    <t>295400200000000</t>
  </si>
  <si>
    <t>C.O.P. Garanzie prestate (fideiussioni, avalli, altre garanzie personali e reali)</t>
  </si>
  <si>
    <t>295400300000000</t>
  </si>
  <si>
    <t>C.O.P. Garanzie ricevute (fideiussioni, avalli, altre garanzie personali e reali)</t>
  </si>
  <si>
    <t>295400400000000</t>
  </si>
  <si>
    <t>C.O.P. Beni in contenzioso</t>
  </si>
  <si>
    <t>295400900000000</t>
  </si>
  <si>
    <t>C.O.P. Altri impegni assunti</t>
  </si>
  <si>
    <t>ARCS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</si>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</sst>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_-* #,##0_-;\-* #,##0_-;_-* &quot;-&quot;??_-;_-@_-"/>
    <numFmt numFmtId="177" formatCode="_-* #,##0.0\ _€_-;\-* #,##0.0\ _€_-;_-* &quot;-&quot;??\ _€_-;_-@_-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DecimaWE Rg"/>
    </font>
    <font>
      <sz val="10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8"/>
      <color indexed="8"/>
      <name val="DecimaWE Rg"/>
    </font>
    <font>
      <sz val="8"/>
      <name val="Times New Roman"/>
      <family val="1"/>
    </font>
    <font>
      <sz val="9"/>
      <color indexed="8"/>
      <name val="DecimaWE Rg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sz val="16"/>
      <name val="Tahoma"/>
      <family val="2"/>
    </font>
    <font>
      <sz val="12"/>
      <color theme="0"/>
      <name val="Tahoma"/>
      <family val="2"/>
    </font>
    <font>
      <b/>
      <sz val="16"/>
      <color rgb="FFFF0000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4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6" borderId="0" applyNumberFormat="0" applyBorder="0" applyAlignment="0" applyProtection="0"/>
    <xf numFmtId="0" fontId="20" fillId="5" borderId="38" applyNumberFormat="0" applyAlignment="0" applyProtection="0"/>
    <xf numFmtId="0" fontId="21" fillId="0" borderId="39" applyNumberFormat="0" applyFill="0" applyAlignment="0" applyProtection="0"/>
    <xf numFmtId="0" fontId="22" fillId="14" borderId="40" applyNumberFormat="0" applyAlignment="0" applyProtection="0"/>
    <xf numFmtId="0" fontId="23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3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4" fillId="6" borderId="38" applyNumberFormat="0" applyAlignment="0" applyProtection="0"/>
    <xf numFmtId="170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7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11" borderId="0" applyNumberFormat="0" applyBorder="0" applyAlignment="0" applyProtection="0"/>
    <xf numFmtId="0" fontId="7" fillId="0" borderId="0"/>
    <xf numFmtId="0" fontId="1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7" fillId="7" borderId="41" applyNumberFormat="0" applyAlignment="0" applyProtection="0"/>
    <xf numFmtId="0" fontId="29" fillId="9" borderId="42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30" fillId="19" borderId="43">
      <alignment vertical="center"/>
    </xf>
    <xf numFmtId="49" fontId="7" fillId="20" borderId="43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5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7" applyNumberFormat="0" applyFill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17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8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5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6" fillId="0" borderId="0"/>
    <xf numFmtId="166" fontId="97" fillId="0" borderId="0"/>
  </cellStyleXfs>
  <cellXfs count="896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166" fontId="10" fillId="0" borderId="0" xfId="2" quotePrefix="1" applyNumberFormat="1" applyFont="1" applyFill="1" applyBorder="1" applyAlignment="1" applyProtection="1">
      <alignment horizontal="center" vertical="center" wrapText="1"/>
    </xf>
    <xf numFmtId="10" fontId="10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10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0" fontId="11" fillId="0" borderId="0" xfId="3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1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10" fontId="10" fillId="0" borderId="0" xfId="3" applyNumberFormat="1" applyFont="1" applyFill="1" applyBorder="1" applyAlignment="1" applyProtection="1">
      <alignment horizontal="righ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vertical="center"/>
    </xf>
    <xf numFmtId="0" fontId="41" fillId="23" borderId="0" xfId="4" applyFont="1" applyFill="1" applyAlignment="1">
      <alignment vertical="center"/>
    </xf>
    <xf numFmtId="0" fontId="44" fillId="24" borderId="0" xfId="4" applyFont="1" applyFill="1" applyAlignment="1">
      <alignment vertical="center"/>
    </xf>
    <xf numFmtId="0" fontId="45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 wrapText="1"/>
    </xf>
    <xf numFmtId="0" fontId="43" fillId="23" borderId="0" xfId="4" applyFont="1" applyFill="1" applyAlignment="1">
      <alignment horizontal="center" vertical="center" wrapText="1"/>
    </xf>
    <xf numFmtId="0" fontId="47" fillId="24" borderId="0" xfId="4" applyFont="1" applyFill="1" applyAlignment="1">
      <alignment vertical="center"/>
    </xf>
    <xf numFmtId="0" fontId="45" fillId="23" borderId="0" xfId="4" applyFont="1" applyFill="1" applyAlignment="1">
      <alignment vertical="center"/>
    </xf>
    <xf numFmtId="0" fontId="45" fillId="23" borderId="0" xfId="4" applyFont="1" applyFill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40" fillId="25" borderId="30" xfId="4" applyFont="1" applyFill="1" applyBorder="1" applyAlignment="1">
      <alignment horizontal="left" vertical="center"/>
    </xf>
    <xf numFmtId="0" fontId="40" fillId="25" borderId="31" xfId="4" applyFont="1" applyFill="1" applyBorder="1" applyAlignment="1">
      <alignment horizontal="center" vertical="center"/>
    </xf>
    <xf numFmtId="0" fontId="40" fillId="3" borderId="32" xfId="4" applyFont="1" applyFill="1" applyBorder="1" applyAlignment="1">
      <alignment horizontal="center" vertical="center"/>
    </xf>
    <xf numFmtId="0" fontId="45" fillId="0" borderId="23" xfId="4" applyFont="1" applyBorder="1" applyAlignment="1">
      <alignment horizontal="center" vertical="center"/>
    </xf>
    <xf numFmtId="0" fontId="45" fillId="0" borderId="24" xfId="4" applyFont="1" applyBorder="1" applyAlignment="1">
      <alignment horizontal="center" vertical="center"/>
    </xf>
    <xf numFmtId="0" fontId="45" fillId="23" borderId="24" xfId="4" applyFont="1" applyFill="1" applyBorder="1" applyAlignment="1">
      <alignment horizontal="center" vertical="center"/>
    </xf>
    <xf numFmtId="0" fontId="45" fillId="23" borderId="48" xfId="4" applyFont="1" applyFill="1" applyBorder="1" applyAlignment="1">
      <alignment horizontal="center" vertical="center"/>
    </xf>
    <xf numFmtId="0" fontId="45" fillId="0" borderId="13" xfId="4" applyFont="1" applyBorder="1" applyAlignment="1">
      <alignment horizontal="center" vertical="center"/>
    </xf>
    <xf numFmtId="0" fontId="45" fillId="23" borderId="34" xfId="4" applyFont="1" applyFill="1" applyBorder="1" applyAlignment="1">
      <alignment horizontal="center" vertical="center"/>
    </xf>
    <xf numFmtId="0" fontId="45" fillId="23" borderId="51" xfId="4" applyFont="1" applyFill="1" applyBorder="1" applyAlignment="1">
      <alignment horizontal="center" vertical="center"/>
    </xf>
    <xf numFmtId="0" fontId="45" fillId="23" borderId="0" xfId="4" applyFont="1" applyFill="1" applyAlignment="1">
      <alignment horizontal="right" vertical="center"/>
    </xf>
    <xf numFmtId="0" fontId="45" fillId="0" borderId="49" xfId="4" applyFont="1" applyBorder="1" applyAlignment="1">
      <alignment horizontal="center" vertical="center"/>
    </xf>
    <xf numFmtId="0" fontId="45" fillId="0" borderId="27" xfId="4" applyFont="1" applyBorder="1" applyAlignment="1">
      <alignment horizontal="center" vertical="center"/>
    </xf>
    <xf numFmtId="0" fontId="45" fillId="23" borderId="27" xfId="4" applyFont="1" applyFill="1" applyBorder="1" applyAlignment="1">
      <alignment horizontal="center" vertical="center"/>
    </xf>
    <xf numFmtId="0" fontId="45" fillId="23" borderId="50" xfId="4" applyFont="1" applyFill="1" applyBorder="1" applyAlignment="1">
      <alignment horizontal="center" vertical="center"/>
    </xf>
    <xf numFmtId="0" fontId="41" fillId="23" borderId="23" xfId="4" applyFont="1" applyFill="1" applyBorder="1" applyAlignment="1">
      <alignment vertical="center"/>
    </xf>
    <xf numFmtId="0" fontId="40" fillId="0" borderId="24" xfId="4" applyFont="1" applyBorder="1" applyAlignment="1">
      <alignment horizontal="center" vertical="center"/>
    </xf>
    <xf numFmtId="0" fontId="40" fillId="23" borderId="24" xfId="4" applyFont="1" applyFill="1" applyBorder="1" applyAlignment="1">
      <alignment horizontal="center" vertical="center"/>
    </xf>
    <xf numFmtId="0" fontId="41" fillId="23" borderId="13" xfId="4" applyFont="1" applyFill="1" applyBorder="1" applyAlignment="1">
      <alignment vertical="center"/>
    </xf>
    <xf numFmtId="0" fontId="41" fillId="23" borderId="49" xfId="4" applyFont="1" applyFill="1" applyBorder="1" applyAlignment="1">
      <alignment vertical="center"/>
    </xf>
    <xf numFmtId="0" fontId="40" fillId="23" borderId="0" xfId="4" applyFont="1" applyFill="1" applyAlignment="1">
      <alignment horizontal="center" vertical="center" wrapText="1"/>
    </xf>
    <xf numFmtId="0" fontId="40" fillId="0" borderId="0" xfId="4" applyFont="1" applyAlignment="1">
      <alignment horizontal="center" vertical="center" wrapText="1"/>
    </xf>
    <xf numFmtId="0" fontId="41" fillId="24" borderId="0" xfId="4" applyFont="1" applyFill="1" applyAlignment="1">
      <alignment vertical="center" wrapText="1"/>
    </xf>
    <xf numFmtId="0" fontId="48" fillId="0" borderId="23" xfId="5" applyFont="1" applyBorder="1" applyAlignment="1">
      <alignment horizontal="center" vertical="center" wrapText="1"/>
    </xf>
    <xf numFmtId="0" fontId="48" fillId="24" borderId="0" xfId="5" applyFont="1" applyFill="1" applyAlignment="1">
      <alignment vertical="center" wrapText="1"/>
    </xf>
    <xf numFmtId="0" fontId="48" fillId="24" borderId="0" xfId="5" applyFont="1" applyFill="1" applyAlignment="1">
      <alignment vertical="center"/>
    </xf>
    <xf numFmtId="0" fontId="48" fillId="0" borderId="37" xfId="5" applyFont="1" applyBorder="1" applyAlignment="1">
      <alignment horizontal="center" vertical="center" wrapText="1"/>
    </xf>
    <xf numFmtId="0" fontId="48" fillId="0" borderId="37" xfId="5" applyFont="1" applyBorder="1" applyAlignment="1">
      <alignment horizontal="left" vertical="center" wrapText="1"/>
    </xf>
    <xf numFmtId="0" fontId="40" fillId="0" borderId="0" xfId="4" applyFont="1" applyAlignment="1">
      <alignment vertical="center" wrapText="1"/>
    </xf>
    <xf numFmtId="0" fontId="54" fillId="0" borderId="37" xfId="5" applyFont="1" applyBorder="1" applyAlignment="1">
      <alignment horizontal="center" vertical="center" wrapText="1"/>
    </xf>
    <xf numFmtId="0" fontId="54" fillId="0" borderId="37" xfId="5" applyFont="1" applyBorder="1" applyAlignment="1">
      <alignment horizontal="left" vertical="center" wrapText="1"/>
    </xf>
    <xf numFmtId="0" fontId="53" fillId="0" borderId="37" xfId="5" applyFont="1" applyBorder="1" applyAlignment="1">
      <alignment horizontal="center" vertical="center" wrapText="1"/>
    </xf>
    <xf numFmtId="0" fontId="53" fillId="0" borderId="37" xfId="5" applyFont="1" applyBorder="1" applyAlignment="1">
      <alignment horizontal="left" vertical="center" wrapText="1"/>
    </xf>
    <xf numFmtId="0" fontId="45" fillId="0" borderId="37" xfId="5" applyFont="1" applyBorder="1" applyAlignment="1">
      <alignment horizontal="center" vertical="center" wrapText="1"/>
    </xf>
    <xf numFmtId="0" fontId="45" fillId="0" borderId="37" xfId="5" applyFont="1" applyBorder="1" applyAlignment="1">
      <alignment horizontal="left" vertical="center" wrapText="1"/>
    </xf>
    <xf numFmtId="0" fontId="45" fillId="24" borderId="37" xfId="5" applyFont="1" applyFill="1" applyBorder="1" applyAlignment="1">
      <alignment horizontal="center" vertical="center" wrapText="1"/>
    </xf>
    <xf numFmtId="0" fontId="45" fillId="24" borderId="37" xfId="5" applyFont="1" applyFill="1" applyBorder="1" applyAlignment="1">
      <alignment horizontal="left" vertical="center" wrapText="1"/>
    </xf>
    <xf numFmtId="0" fontId="52" fillId="0" borderId="0" xfId="4" applyFont="1" applyAlignment="1">
      <alignment vertical="center" wrapText="1"/>
    </xf>
    <xf numFmtId="0" fontId="53" fillId="24" borderId="37" xfId="5" applyFont="1" applyFill="1" applyBorder="1" applyAlignment="1">
      <alignment horizontal="center" vertical="center" wrapText="1"/>
    </xf>
    <xf numFmtId="0" fontId="53" fillId="24" borderId="37" xfId="5" applyFont="1" applyFill="1" applyBorder="1" applyAlignment="1">
      <alignment horizontal="left" vertical="center" wrapText="1"/>
    </xf>
    <xf numFmtId="0" fontId="53" fillId="24" borderId="55" xfId="5" applyFont="1" applyFill="1" applyBorder="1" applyAlignment="1">
      <alignment horizontal="left" vertical="center" wrapText="1"/>
    </xf>
    <xf numFmtId="0" fontId="45" fillId="24" borderId="0" xfId="5" applyFont="1" applyFill="1" applyAlignment="1">
      <alignment vertical="center"/>
    </xf>
    <xf numFmtId="0" fontId="45" fillId="24" borderId="0" xfId="4" applyFont="1" applyFill="1" applyAlignment="1">
      <alignment horizontal="center" vertical="center"/>
    </xf>
    <xf numFmtId="0" fontId="45" fillId="24" borderId="0" xfId="4" applyFont="1" applyFill="1" applyAlignment="1">
      <alignment vertical="center"/>
    </xf>
    <xf numFmtId="0" fontId="41" fillId="24" borderId="0" xfId="4" applyFont="1" applyFill="1" applyAlignment="1">
      <alignment vertical="center"/>
    </xf>
    <xf numFmtId="0" fontId="41" fillId="23" borderId="0" xfId="4" applyFont="1" applyFill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0" xfId="5" applyFont="1" applyAlignment="1">
      <alignment vertical="center"/>
    </xf>
    <xf numFmtId="0" fontId="45" fillId="0" borderId="0" xfId="4" applyFont="1" applyAlignment="1">
      <alignment vertical="center"/>
    </xf>
    <xf numFmtId="0" fontId="54" fillId="4" borderId="37" xfId="5" applyFont="1" applyFill="1" applyBorder="1" applyAlignment="1">
      <alignment horizontal="center" vertical="center" wrapText="1"/>
    </xf>
    <xf numFmtId="0" fontId="54" fillId="4" borderId="37" xfId="5" applyFont="1" applyFill="1" applyBorder="1" applyAlignment="1">
      <alignment horizontal="left" vertical="center" wrapText="1"/>
    </xf>
    <xf numFmtId="0" fontId="49" fillId="26" borderId="52" xfId="5" applyFont="1" applyFill="1" applyBorder="1" applyAlignment="1">
      <alignment horizontal="center" vertical="center" wrapText="1"/>
    </xf>
    <xf numFmtId="0" fontId="50" fillId="26" borderId="52" xfId="5" applyFont="1" applyFill="1" applyBorder="1" applyAlignment="1">
      <alignment vertical="center" wrapText="1"/>
    </xf>
    <xf numFmtId="164" fontId="51" fillId="26" borderId="53" xfId="115" applyFont="1" applyFill="1" applyBorder="1" applyAlignment="1">
      <alignment horizontal="right" vertical="center" wrapText="1"/>
    </xf>
    <xf numFmtId="0" fontId="48" fillId="27" borderId="37" xfId="5" applyFont="1" applyFill="1" applyBorder="1" applyAlignment="1">
      <alignment horizontal="center" vertical="center" wrapText="1"/>
    </xf>
    <xf numFmtId="0" fontId="48" fillId="27" borderId="37" xfId="5" applyFont="1" applyFill="1" applyBorder="1" applyAlignment="1">
      <alignment horizontal="left" vertical="center" wrapText="1"/>
    </xf>
    <xf numFmtId="0" fontId="48" fillId="28" borderId="37" xfId="5" applyFont="1" applyFill="1" applyBorder="1" applyAlignment="1">
      <alignment horizontal="center" vertical="center" wrapText="1"/>
    </xf>
    <xf numFmtId="0" fontId="48" fillId="28" borderId="37" xfId="5" applyFont="1" applyFill="1" applyBorder="1" applyAlignment="1">
      <alignment horizontal="left" vertical="center" wrapText="1"/>
    </xf>
    <xf numFmtId="0" fontId="53" fillId="29" borderId="37" xfId="5" applyFont="1" applyFill="1" applyBorder="1" applyAlignment="1">
      <alignment horizontal="center" vertical="center" wrapText="1"/>
    </xf>
    <xf numFmtId="0" fontId="53" fillId="29" borderId="37" xfId="5" applyFont="1" applyFill="1" applyBorder="1" applyAlignment="1">
      <alignment horizontal="left" vertical="center" wrapText="1"/>
    </xf>
    <xf numFmtId="0" fontId="45" fillId="30" borderId="37" xfId="5" applyFont="1" applyFill="1" applyBorder="1" applyAlignment="1">
      <alignment horizontal="center" vertical="center" wrapText="1"/>
    </xf>
    <xf numFmtId="0" fontId="45" fillId="30" borderId="37" xfId="5" applyFont="1" applyFill="1" applyBorder="1" applyAlignment="1">
      <alignment horizontal="left" vertical="center" wrapText="1"/>
    </xf>
    <xf numFmtId="0" fontId="53" fillId="30" borderId="37" xfId="5" applyFont="1" applyFill="1" applyBorder="1" applyAlignment="1">
      <alignment horizontal="center" vertical="center" wrapText="1"/>
    </xf>
    <xf numFmtId="0" fontId="53" fillId="30" borderId="37" xfId="5" applyFont="1" applyFill="1" applyBorder="1" applyAlignment="1">
      <alignment horizontal="left" vertical="center" wrapText="1"/>
    </xf>
    <xf numFmtId="0" fontId="45" fillId="26" borderId="37" xfId="5" applyFont="1" applyFill="1" applyBorder="1" applyAlignment="1">
      <alignment horizontal="center" vertical="center" wrapText="1"/>
    </xf>
    <xf numFmtId="0" fontId="48" fillId="26" borderId="37" xfId="5" applyFont="1" applyFill="1" applyBorder="1" applyAlignment="1">
      <alignment horizontal="left" vertical="center" wrapText="1"/>
    </xf>
    <xf numFmtId="0" fontId="40" fillId="26" borderId="37" xfId="5" applyFont="1" applyFill="1" applyBorder="1" applyAlignment="1">
      <alignment horizontal="left" vertical="center" wrapText="1"/>
    </xf>
    <xf numFmtId="0" fontId="54" fillId="29" borderId="37" xfId="5" applyFont="1" applyFill="1" applyBorder="1" applyAlignment="1">
      <alignment horizontal="center" vertical="center" wrapText="1"/>
    </xf>
    <xf numFmtId="0" fontId="54" fillId="29" borderId="37" xfId="5" applyFont="1" applyFill="1" applyBorder="1" applyAlignment="1">
      <alignment horizontal="left" vertical="center" wrapText="1"/>
    </xf>
    <xf numFmtId="0" fontId="56" fillId="32" borderId="37" xfId="5" applyFont="1" applyFill="1" applyBorder="1" applyAlignment="1">
      <alignment horizontal="center" vertical="center" wrapText="1"/>
    </xf>
    <xf numFmtId="0" fontId="56" fillId="32" borderId="37" xfId="5" applyFont="1" applyFill="1" applyBorder="1" applyAlignment="1">
      <alignment horizontal="left" vertical="center" wrapText="1"/>
    </xf>
    <xf numFmtId="0" fontId="56" fillId="31" borderId="37" xfId="5" applyFont="1" applyFill="1" applyBorder="1" applyAlignment="1">
      <alignment horizontal="center" vertical="center" wrapText="1"/>
    </xf>
    <xf numFmtId="0" fontId="56" fillId="31" borderId="37" xfId="5" applyFont="1" applyFill="1" applyBorder="1" applyAlignment="1">
      <alignment horizontal="left" vertical="center" wrapText="1"/>
    </xf>
    <xf numFmtId="0" fontId="45" fillId="33" borderId="37" xfId="5" applyFont="1" applyFill="1" applyBorder="1" applyAlignment="1">
      <alignment horizontal="center" vertical="center" wrapText="1"/>
    </xf>
    <xf numFmtId="0" fontId="45" fillId="33" borderId="37" xfId="5" applyFont="1" applyFill="1" applyBorder="1" applyAlignment="1">
      <alignment horizontal="left" vertical="center" wrapText="1"/>
    </xf>
    <xf numFmtId="0" fontId="48" fillId="34" borderId="18" xfId="5" applyFont="1" applyFill="1" applyBorder="1" applyAlignment="1">
      <alignment horizontal="center" vertical="center" wrapText="1"/>
    </xf>
    <xf numFmtId="0" fontId="48" fillId="34" borderId="18" xfId="5" applyFont="1" applyFill="1" applyBorder="1" applyAlignment="1">
      <alignment horizontal="left" vertical="center" wrapText="1"/>
    </xf>
    <xf numFmtId="10" fontId="11" fillId="4" borderId="54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57" xfId="3" applyNumberFormat="1" applyFont="1" applyFill="1" applyBorder="1" applyAlignment="1" applyProtection="1">
      <alignment horizontal="right" vertical="center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51" xfId="3" applyNumberFormat="1" applyFont="1" applyFill="1" applyBorder="1" applyAlignment="1" applyProtection="1">
      <alignment horizontal="right" vertical="center"/>
    </xf>
    <xf numFmtId="10" fontId="10" fillId="0" borderId="51" xfId="3" applyNumberFormat="1" applyFont="1" applyFill="1" applyBorder="1" applyAlignment="1" applyProtection="1">
      <alignment horizontal="right" vertical="center"/>
    </xf>
    <xf numFmtId="10" fontId="11" fillId="0" borderId="51" xfId="3" applyNumberFormat="1" applyFont="1" applyFill="1" applyBorder="1" applyAlignment="1" applyProtection="1">
      <alignment horizontal="right" vertical="center"/>
    </xf>
    <xf numFmtId="10" fontId="11" fillId="0" borderId="56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56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58" xfId="3" applyNumberFormat="1" applyFont="1" applyFill="1" applyBorder="1" applyAlignment="1">
      <alignment horizontal="right" vertical="center"/>
    </xf>
    <xf numFmtId="43" fontId="6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0" fontId="48" fillId="0" borderId="5" xfId="5" applyFont="1" applyBorder="1" applyAlignment="1">
      <alignment horizontal="center" vertical="center" wrapText="1"/>
    </xf>
    <xf numFmtId="0" fontId="49" fillId="0" borderId="5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53" fillId="0" borderId="7" xfId="5" applyFont="1" applyBorder="1" applyAlignment="1">
      <alignment horizontal="center" vertical="center" wrapText="1"/>
    </xf>
    <xf numFmtId="0" fontId="45" fillId="24" borderId="7" xfId="5" applyFont="1" applyFill="1" applyBorder="1" applyAlignment="1">
      <alignment horizontal="center" vertical="center" wrapText="1"/>
    </xf>
    <xf numFmtId="0" fontId="48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8" fillId="0" borderId="7" xfId="5" quotePrefix="1" applyFont="1" applyBorder="1" applyAlignment="1">
      <alignment horizontal="center" vertical="center" wrapText="1"/>
    </xf>
    <xf numFmtId="0" fontId="48" fillId="24" borderId="7" xfId="5" applyFont="1" applyFill="1" applyBorder="1" applyAlignment="1">
      <alignment horizontal="center" vertical="center" wrapText="1"/>
    </xf>
    <xf numFmtId="0" fontId="45" fillId="24" borderId="59" xfId="5" applyFont="1" applyFill="1" applyBorder="1" applyAlignment="1">
      <alignment horizontal="center" vertical="center" wrapText="1"/>
    </xf>
    <xf numFmtId="0" fontId="40" fillId="3" borderId="31" xfId="4" applyFont="1" applyFill="1" applyBorder="1" applyAlignment="1">
      <alignment horizontal="center" vertical="center"/>
    </xf>
    <xf numFmtId="164" fontId="51" fillId="0" borderId="0" xfId="115" applyFont="1" applyFill="1" applyBorder="1" applyAlignment="1">
      <alignment horizontal="right" vertical="center" wrapText="1"/>
    </xf>
    <xf numFmtId="164" fontId="57" fillId="0" borderId="0" xfId="115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43" fontId="0" fillId="0" borderId="0" xfId="1" applyFont="1"/>
    <xf numFmtId="2" fontId="11" fillId="0" borderId="0" xfId="3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61" fillId="0" borderId="0" xfId="0" applyFont="1"/>
    <xf numFmtId="164" fontId="48" fillId="24" borderId="33" xfId="115" applyFont="1" applyFill="1" applyBorder="1" applyAlignment="1" applyProtection="1">
      <alignment horizontal="center" vertical="center" wrapText="1"/>
    </xf>
    <xf numFmtId="164" fontId="48" fillId="0" borderId="0" xfId="115" applyFont="1" applyFill="1" applyBorder="1" applyAlignment="1" applyProtection="1">
      <alignment horizontal="center" vertical="center" wrapText="1"/>
    </xf>
    <xf numFmtId="0" fontId="7" fillId="0" borderId="0" xfId="0" applyFont="1"/>
    <xf numFmtId="0" fontId="45" fillId="24" borderId="0" xfId="4" applyFont="1" applyFill="1" applyAlignment="1">
      <alignment vertical="center" wrapText="1"/>
    </xf>
    <xf numFmtId="0" fontId="7" fillId="0" borderId="0" xfId="79" applyAlignment="1">
      <alignment vertical="center"/>
    </xf>
    <xf numFmtId="49" fontId="65" fillId="36" borderId="69" xfId="79" applyNumberFormat="1" applyFont="1" applyFill="1" applyBorder="1" applyAlignment="1">
      <alignment horizontal="center" vertical="center" wrapText="1"/>
    </xf>
    <xf numFmtId="49" fontId="60" fillId="0" borderId="72" xfId="79" applyNumberFormat="1" applyFont="1" applyBorder="1" applyAlignment="1">
      <alignment vertical="center" wrapText="1"/>
    </xf>
    <xf numFmtId="0" fontId="60" fillId="0" borderId="65" xfId="79" applyFont="1" applyBorder="1" applyAlignment="1">
      <alignment horizontal="left" vertical="center" wrapText="1"/>
    </xf>
    <xf numFmtId="49" fontId="60" fillId="0" borderId="65" xfId="79" applyNumberFormat="1" applyFont="1" applyBorder="1" applyAlignment="1">
      <alignment horizontal="left" vertical="center" wrapText="1"/>
    </xf>
    <xf numFmtId="49" fontId="60" fillId="0" borderId="65" xfId="79" applyNumberFormat="1" applyFont="1" applyBorder="1" applyAlignment="1">
      <alignment vertical="center" wrapText="1"/>
    </xf>
    <xf numFmtId="49" fontId="60" fillId="24" borderId="65" xfId="79" applyNumberFormat="1" applyFont="1" applyFill="1" applyBorder="1" applyAlignment="1">
      <alignment vertical="center" wrapText="1"/>
    </xf>
    <xf numFmtId="49" fontId="60" fillId="24" borderId="73" xfId="79" applyNumberFormat="1" applyFont="1" applyFill="1" applyBorder="1" applyAlignment="1">
      <alignment horizontal="left" vertical="center" wrapText="1"/>
    </xf>
    <xf numFmtId="49" fontId="66" fillId="4" borderId="75" xfId="79" applyNumberFormat="1" applyFont="1" applyFill="1" applyBorder="1" applyAlignment="1">
      <alignment horizontal="left" vertical="center" wrapText="1"/>
    </xf>
    <xf numFmtId="49" fontId="59" fillId="24" borderId="77" xfId="79" applyNumberFormat="1" applyFont="1" applyFill="1" applyBorder="1" applyAlignment="1">
      <alignment horizontal="left" vertical="center" wrapText="1"/>
    </xf>
    <xf numFmtId="49" fontId="59" fillId="24" borderId="78" xfId="79" applyNumberFormat="1" applyFont="1" applyFill="1" applyBorder="1" applyAlignment="1">
      <alignment horizontal="left" vertical="center" wrapText="1"/>
    </xf>
    <xf numFmtId="49" fontId="59" fillId="24" borderId="79" xfId="79" applyNumberFormat="1" applyFont="1" applyFill="1" applyBorder="1" applyAlignment="1">
      <alignment horizontal="left" vertical="center" wrapText="1"/>
    </xf>
    <xf numFmtId="49" fontId="59" fillId="24" borderId="62" xfId="79" applyNumberFormat="1" applyFont="1" applyFill="1" applyBorder="1" applyAlignment="1">
      <alignment horizontal="left" vertical="center" wrapText="1"/>
    </xf>
    <xf numFmtId="0" fontId="60" fillId="0" borderId="72" xfId="79" applyFont="1" applyBorder="1" applyAlignment="1">
      <alignment vertical="center"/>
    </xf>
    <xf numFmtId="0" fontId="7" fillId="0" borderId="65" xfId="79" applyBorder="1" applyAlignment="1">
      <alignment vertical="center"/>
    </xf>
    <xf numFmtId="0" fontId="61" fillId="0" borderId="66" xfId="79" quotePrefix="1" applyFont="1" applyBorder="1" applyAlignment="1">
      <alignment horizontal="center" vertical="center"/>
    </xf>
    <xf numFmtId="0" fontId="7" fillId="24" borderId="65" xfId="79" applyFill="1" applyBorder="1" applyAlignment="1">
      <alignment vertical="center"/>
    </xf>
    <xf numFmtId="0" fontId="60" fillId="0" borderId="65" xfId="79" applyFont="1" applyBorder="1" applyAlignment="1">
      <alignment vertical="center"/>
    </xf>
    <xf numFmtId="49" fontId="61" fillId="0" borderId="65" xfId="79" applyNumberFormat="1" applyFont="1" applyBorder="1" applyAlignment="1">
      <alignment horizontal="left" vertical="center"/>
    </xf>
    <xf numFmtId="0" fontId="61" fillId="0" borderId="66" xfId="79" applyFont="1" applyBorder="1" applyAlignment="1">
      <alignment horizontal="center" vertical="center"/>
    </xf>
    <xf numFmtId="49" fontId="60" fillId="0" borderId="65" xfId="79" applyNumberFormat="1" applyFont="1" applyBorder="1" applyAlignment="1">
      <alignment vertical="center"/>
    </xf>
    <xf numFmtId="0" fontId="61" fillId="0" borderId="65" xfId="79" applyFont="1" applyBorder="1" applyAlignment="1">
      <alignment horizontal="left" vertical="center"/>
    </xf>
    <xf numFmtId="0" fontId="61" fillId="24" borderId="65" xfId="79" applyFont="1" applyFill="1" applyBorder="1" applyAlignment="1">
      <alignment horizontal="left" vertical="center"/>
    </xf>
    <xf numFmtId="0" fontId="60" fillId="0" borderId="65" xfId="79" applyFont="1" applyBorder="1" applyAlignment="1">
      <alignment horizontal="left" vertical="center"/>
    </xf>
    <xf numFmtId="49" fontId="60" fillId="0" borderId="65" xfId="79" applyNumberFormat="1" applyFont="1" applyBorder="1" applyAlignment="1">
      <alignment horizontal="left" vertical="center"/>
    </xf>
    <xf numFmtId="49" fontId="60" fillId="24" borderId="65" xfId="79" applyNumberFormat="1" applyFont="1" applyFill="1" applyBorder="1" applyAlignment="1">
      <alignment vertical="center"/>
    </xf>
    <xf numFmtId="49" fontId="60" fillId="24" borderId="73" xfId="79" applyNumberFormat="1" applyFont="1" applyFill="1" applyBorder="1" applyAlignment="1">
      <alignment vertical="center"/>
    </xf>
    <xf numFmtId="0" fontId="66" fillId="4" borderId="75" xfId="79" applyFont="1" applyFill="1" applyBorder="1" applyAlignment="1">
      <alignment horizontal="left" vertical="center" wrapText="1"/>
    </xf>
    <xf numFmtId="0" fontId="66" fillId="37" borderId="80" xfId="79" applyFont="1" applyFill="1" applyBorder="1" applyAlignment="1">
      <alignment horizontal="left" vertical="center" wrapText="1"/>
    </xf>
    <xf numFmtId="0" fontId="7" fillId="37" borderId="81" xfId="79" applyFill="1" applyBorder="1" applyAlignment="1">
      <alignment vertical="center"/>
    </xf>
    <xf numFmtId="49" fontId="7" fillId="0" borderId="82" xfId="5" applyNumberFormat="1" applyBorder="1" applyAlignment="1">
      <alignment horizontal="center" vertical="center" wrapText="1"/>
    </xf>
    <xf numFmtId="49" fontId="7" fillId="0" borderId="83" xfId="5" applyNumberFormat="1" applyBorder="1" applyAlignment="1">
      <alignment horizontal="center" vertical="center" wrapText="1"/>
    </xf>
    <xf numFmtId="43" fontId="7" fillId="24" borderId="83" xfId="125" applyFont="1" applyFill="1" applyBorder="1" applyAlignment="1" applyProtection="1">
      <alignment horizontal="center" vertical="center" wrapText="1"/>
    </xf>
    <xf numFmtId="49" fontId="7" fillId="24" borderId="83" xfId="5" applyNumberFormat="1" applyFill="1" applyBorder="1" applyAlignment="1">
      <alignment horizontal="center" vertical="center" wrapText="1"/>
    </xf>
    <xf numFmtId="49" fontId="7" fillId="24" borderId="84" xfId="5" applyNumberFormat="1" applyFill="1" applyBorder="1" applyAlignment="1">
      <alignment horizontal="center" vertical="center" wrapText="1"/>
    </xf>
    <xf numFmtId="49" fontId="60" fillId="4" borderId="85" xfId="79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82" xfId="79" applyFill="1" applyBorder="1" applyAlignment="1">
      <alignment horizontal="center" vertical="center"/>
    </xf>
    <xf numFmtId="49" fontId="7" fillId="0" borderId="83" xfId="79" applyNumberFormat="1" applyBorder="1" applyAlignment="1">
      <alignment horizontal="center" vertical="center" wrapText="1"/>
    </xf>
    <xf numFmtId="49" fontId="7" fillId="0" borderId="83" xfId="79" applyNumberFormat="1" applyBorder="1" applyAlignment="1">
      <alignment horizontal="center" vertical="center"/>
    </xf>
    <xf numFmtId="49" fontId="7" fillId="24" borderId="83" xfId="79" applyNumberFormat="1" applyFill="1" applyBorder="1" applyAlignment="1">
      <alignment horizontal="center" vertical="center"/>
    </xf>
    <xf numFmtId="3" fontId="7" fillId="0" borderId="83" xfId="79" applyNumberFormat="1" applyBorder="1" applyAlignment="1">
      <alignment horizontal="center" vertical="center" wrapText="1"/>
    </xf>
    <xf numFmtId="0" fontId="7" fillId="0" borderId="83" xfId="79" applyBorder="1" applyAlignment="1">
      <alignment horizontal="center" vertical="center"/>
    </xf>
    <xf numFmtId="0" fontId="7" fillId="24" borderId="83" xfId="79" applyFill="1" applyBorder="1" applyAlignment="1">
      <alignment horizontal="center" vertical="center" wrapText="1"/>
    </xf>
    <xf numFmtId="0" fontId="7" fillId="0" borderId="83" xfId="79" quotePrefix="1" applyBorder="1" applyAlignment="1">
      <alignment horizontal="center" vertical="center"/>
    </xf>
    <xf numFmtId="0" fontId="7" fillId="0" borderId="83" xfId="79" quotePrefix="1" applyBorder="1" applyAlignment="1">
      <alignment horizontal="center" vertical="center" wrapText="1"/>
    </xf>
    <xf numFmtId="0" fontId="7" fillId="24" borderId="84" xfId="79" quotePrefix="1" applyFill="1" applyBorder="1" applyAlignment="1">
      <alignment horizontal="center" vertical="center" wrapText="1"/>
    </xf>
    <xf numFmtId="49" fontId="59" fillId="4" borderId="85" xfId="79" applyNumberFormat="1" applyFont="1" applyFill="1" applyBorder="1" applyAlignment="1">
      <alignment horizontal="left" vertical="center" wrapText="1"/>
    </xf>
    <xf numFmtId="0" fontId="67" fillId="36" borderId="63" xfId="79" applyFont="1" applyFill="1" applyBorder="1" applyAlignment="1">
      <alignment horizontal="center" vertical="center"/>
    </xf>
    <xf numFmtId="0" fontId="67" fillId="36" borderId="66" xfId="79" applyFont="1" applyFill="1" applyBorder="1" applyAlignment="1">
      <alignment horizontal="center" vertical="center"/>
    </xf>
    <xf numFmtId="0" fontId="67" fillId="36" borderId="70" xfId="79" applyFont="1" applyFill="1" applyBorder="1" applyAlignment="1">
      <alignment horizontal="center" vertical="center"/>
    </xf>
    <xf numFmtId="2" fontId="67" fillId="0" borderId="68" xfId="5" applyNumberFormat="1" applyFont="1" applyBorder="1" applyAlignment="1">
      <alignment horizontal="center" vertical="center" wrapText="1"/>
    </xf>
    <xf numFmtId="1" fontId="67" fillId="0" borderId="66" xfId="5" applyNumberFormat="1" applyFont="1" applyBorder="1" applyAlignment="1">
      <alignment horizontal="center" vertical="center" wrapText="1"/>
    </xf>
    <xf numFmtId="1" fontId="67" fillId="0" borderId="74" xfId="5" applyNumberFormat="1" applyFont="1" applyBorder="1" applyAlignment="1">
      <alignment horizontal="center" vertical="center" wrapText="1"/>
    </xf>
    <xf numFmtId="49" fontId="68" fillId="4" borderId="76" xfId="79" applyNumberFormat="1" applyFont="1" applyFill="1" applyBorder="1" applyAlignment="1">
      <alignment horizontal="center" vertical="center" wrapText="1"/>
    </xf>
    <xf numFmtId="49" fontId="67" fillId="24" borderId="78" xfId="79" applyNumberFormat="1" applyFont="1" applyFill="1" applyBorder="1" applyAlignment="1">
      <alignment horizontal="left" vertical="center" wrapText="1"/>
    </xf>
    <xf numFmtId="49" fontId="67" fillId="24" borderId="62" xfId="79" applyNumberFormat="1" applyFont="1" applyFill="1" applyBorder="1" applyAlignment="1">
      <alignment horizontal="left" vertical="center" wrapText="1"/>
    </xf>
    <xf numFmtId="49" fontId="67" fillId="36" borderId="70" xfId="79" applyNumberFormat="1" applyFont="1" applyFill="1" applyBorder="1" applyAlignment="1">
      <alignment horizontal="center" vertical="center" wrapText="1"/>
    </xf>
    <xf numFmtId="49" fontId="67" fillId="0" borderId="68" xfId="79" applyNumberFormat="1" applyFont="1" applyBorder="1" applyAlignment="1">
      <alignment horizontal="center" vertical="center" wrapText="1"/>
    </xf>
    <xf numFmtId="0" fontId="67" fillId="0" borderId="66" xfId="79" quotePrefix="1" applyFont="1" applyBorder="1" applyAlignment="1">
      <alignment horizontal="center" vertical="center"/>
    </xf>
    <xf numFmtId="0" fontId="67" fillId="0" borderId="66" xfId="79" quotePrefix="1" applyFont="1" applyBorder="1" applyAlignment="1">
      <alignment horizontal="center" vertical="center" wrapText="1"/>
    </xf>
    <xf numFmtId="0" fontId="67" fillId="0" borderId="74" xfId="79" quotePrefix="1" applyFont="1" applyBorder="1" applyAlignment="1">
      <alignment horizontal="center" vertical="center"/>
    </xf>
    <xf numFmtId="0" fontId="67" fillId="4" borderId="76" xfId="79" applyFont="1" applyFill="1" applyBorder="1" applyAlignment="1">
      <alignment horizontal="center" vertical="center" wrapText="1"/>
    </xf>
    <xf numFmtId="0" fontId="67" fillId="0" borderId="0" xfId="79" applyFont="1" applyAlignment="1">
      <alignment vertical="center"/>
    </xf>
    <xf numFmtId="0" fontId="67" fillId="37" borderId="81" xfId="79" applyFont="1" applyFill="1" applyBorder="1" applyAlignment="1">
      <alignment horizontal="center" vertical="center" wrapText="1"/>
    </xf>
    <xf numFmtId="0" fontId="48" fillId="0" borderId="30" xfId="5" applyFont="1" applyBorder="1" applyAlignment="1">
      <alignment horizontal="center" vertical="center" wrapText="1"/>
    </xf>
    <xf numFmtId="10" fontId="11" fillId="0" borderId="51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51" xfId="3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6" fillId="3" borderId="31" xfId="1" applyFont="1" applyFill="1" applyBorder="1" applyAlignment="1">
      <alignment horizontal="center" vertical="center"/>
    </xf>
    <xf numFmtId="0" fontId="40" fillId="3" borderId="30" xfId="4" applyFont="1" applyFill="1" applyBorder="1" applyAlignment="1">
      <alignment horizontal="left" vertical="center"/>
    </xf>
    <xf numFmtId="43" fontId="42" fillId="23" borderId="24" xfId="1" applyFont="1" applyFill="1" applyBorder="1" applyAlignment="1">
      <alignment horizontal="center" vertical="center"/>
    </xf>
    <xf numFmtId="0" fontId="45" fillId="23" borderId="23" xfId="4" applyFont="1" applyFill="1" applyBorder="1" applyAlignment="1">
      <alignment horizontal="center" vertical="center"/>
    </xf>
    <xf numFmtId="43" fontId="42" fillId="23" borderId="0" xfId="1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center" vertical="center"/>
    </xf>
    <xf numFmtId="43" fontId="42" fillId="23" borderId="27" xfId="1" applyFont="1" applyFill="1" applyBorder="1" applyAlignment="1">
      <alignment horizontal="center" vertical="center"/>
    </xf>
    <xf numFmtId="0" fontId="45" fillId="23" borderId="49" xfId="4" applyFont="1" applyFill="1" applyBorder="1" applyAlignment="1">
      <alignment horizontal="center" vertical="center"/>
    </xf>
    <xf numFmtId="0" fontId="40" fillId="23" borderId="48" xfId="4" applyFont="1" applyFill="1" applyBorder="1" applyAlignment="1">
      <alignment horizontal="center" vertical="center"/>
    </xf>
    <xf numFmtId="0" fontId="45" fillId="24" borderId="34" xfId="4" applyFont="1" applyFill="1" applyBorder="1" applyAlignment="1">
      <alignment horizontal="center" vertical="center"/>
    </xf>
    <xf numFmtId="164" fontId="42" fillId="24" borderId="34" xfId="115" applyFont="1" applyFill="1" applyBorder="1" applyAlignment="1">
      <alignment horizontal="center" vertical="center"/>
    </xf>
    <xf numFmtId="0" fontId="62" fillId="0" borderId="0" xfId="0" applyFont="1"/>
    <xf numFmtId="0" fontId="47" fillId="24" borderId="0" xfId="4" applyFont="1" applyFill="1" applyAlignment="1">
      <alignment horizontal="center" vertical="center"/>
    </xf>
    <xf numFmtId="0" fontId="47" fillId="0" borderId="0" xfId="4" applyFont="1" applyAlignment="1">
      <alignment vertical="center"/>
    </xf>
    <xf numFmtId="164" fontId="42" fillId="24" borderId="0" xfId="115" applyFont="1" applyFill="1" applyBorder="1" applyAlignment="1">
      <alignment horizontal="center" vertical="center"/>
    </xf>
    <xf numFmtId="0" fontId="6" fillId="35" borderId="33" xfId="5" applyFont="1" applyFill="1" applyBorder="1" applyAlignment="1">
      <alignment horizontal="center" vertical="center" wrapText="1"/>
    </xf>
    <xf numFmtId="43" fontId="6" fillId="35" borderId="33" xfId="1" applyFont="1" applyFill="1" applyBorder="1" applyAlignment="1" applyProtection="1">
      <alignment horizontal="center" vertical="center" wrapText="1"/>
    </xf>
    <xf numFmtId="0" fontId="70" fillId="38" borderId="3" xfId="79" applyFont="1" applyFill="1" applyBorder="1" applyAlignment="1">
      <alignment horizontal="left" vertical="center" wrapText="1"/>
    </xf>
    <xf numFmtId="0" fontId="8" fillId="38" borderId="3" xfId="79" applyFont="1" applyFill="1" applyBorder="1" applyAlignment="1">
      <alignment horizontal="left" vertical="center" wrapText="1"/>
    </xf>
    <xf numFmtId="0" fontId="70" fillId="38" borderId="3" xfId="79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left" vertical="center" wrapText="1"/>
    </xf>
    <xf numFmtId="0" fontId="72" fillId="0" borderId="3" xfId="5" applyFont="1" applyBorder="1" applyAlignment="1">
      <alignment horizontal="left" vertical="center" wrapText="1"/>
    </xf>
    <xf numFmtId="0" fontId="72" fillId="0" borderId="3" xfId="5" applyFont="1" applyBorder="1" applyAlignment="1">
      <alignment horizontal="center" vertical="center" wrapText="1"/>
    </xf>
    <xf numFmtId="0" fontId="72" fillId="4" borderId="3" xfId="79" applyFont="1" applyFill="1" applyBorder="1" applyAlignment="1">
      <alignment horizontal="left" vertical="center" wrapText="1"/>
    </xf>
    <xf numFmtId="0" fontId="72" fillId="4" borderId="3" xfId="5" applyFont="1" applyFill="1" applyBorder="1" applyAlignment="1">
      <alignment horizontal="left" vertical="center" wrapText="1"/>
    </xf>
    <xf numFmtId="0" fontId="72" fillId="4" borderId="3" xfId="5" applyFont="1" applyFill="1" applyBorder="1" applyAlignment="1">
      <alignment horizontal="center" vertical="center" wrapText="1"/>
    </xf>
    <xf numFmtId="43" fontId="70" fillId="38" borderId="3" xfId="1" applyFont="1" applyFill="1" applyBorder="1" applyAlignment="1">
      <alignment horizontal="left" vertical="center" wrapText="1"/>
    </xf>
    <xf numFmtId="43" fontId="72" fillId="0" borderId="3" xfId="1" applyFont="1" applyBorder="1" applyAlignment="1">
      <alignment horizontal="left" vertical="center" wrapText="1"/>
    </xf>
    <xf numFmtId="43" fontId="72" fillId="4" borderId="3" xfId="1" applyFont="1" applyFill="1" applyBorder="1" applyAlignment="1">
      <alignment horizontal="left" vertical="center" wrapText="1"/>
    </xf>
    <xf numFmtId="0" fontId="8" fillId="38" borderId="3" xfId="79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center" vertical="center"/>
    </xf>
    <xf numFmtId="0" fontId="8" fillId="4" borderId="3" xfId="79" applyFont="1" applyFill="1" applyBorder="1" applyAlignment="1">
      <alignment horizontal="center" vertical="center"/>
    </xf>
    <xf numFmtId="0" fontId="8" fillId="4" borderId="3" xfId="79" applyFont="1" applyFill="1" applyBorder="1" applyAlignment="1">
      <alignment horizontal="center" vertical="center" wrapText="1"/>
    </xf>
    <xf numFmtId="0" fontId="72" fillId="4" borderId="3" xfId="79" applyFont="1" applyFill="1" applyBorder="1" applyAlignment="1">
      <alignment horizontal="center" vertical="center"/>
    </xf>
    <xf numFmtId="43" fontId="8" fillId="38" borderId="3" xfId="1" applyFont="1" applyFill="1" applyBorder="1" applyAlignment="1">
      <alignment horizontal="center" vertical="center" wrapText="1"/>
    </xf>
    <xf numFmtId="43" fontId="72" fillId="0" borderId="3" xfId="1" applyFont="1" applyBorder="1" applyAlignment="1">
      <alignment horizontal="center" vertical="center" wrapText="1"/>
    </xf>
    <xf numFmtId="43" fontId="72" fillId="0" borderId="3" xfId="1" applyFont="1" applyBorder="1" applyAlignment="1">
      <alignment horizontal="center" vertical="center"/>
    </xf>
    <xf numFmtId="43" fontId="72" fillId="0" borderId="3" xfId="1" applyFont="1" applyFill="1" applyBorder="1" applyAlignment="1">
      <alignment horizontal="center" vertical="center"/>
    </xf>
    <xf numFmtId="43" fontId="72" fillId="4" borderId="3" xfId="1" applyFont="1" applyFill="1" applyBorder="1" applyAlignment="1">
      <alignment horizontal="center" vertical="center"/>
    </xf>
    <xf numFmtId="0" fontId="60" fillId="0" borderId="0" xfId="0" applyFont="1"/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" fontId="10" fillId="35" borderId="30" xfId="4" applyNumberFormat="1" applyFont="1" applyFill="1" applyBorder="1" applyAlignment="1">
      <alignment horizontal="center" vertical="center"/>
    </xf>
    <xf numFmtId="0" fontId="47" fillId="0" borderId="0" xfId="5" applyFont="1" applyAlignment="1">
      <alignment vertical="center"/>
    </xf>
    <xf numFmtId="0" fontId="45" fillId="0" borderId="0" xfId="4" applyFont="1" applyAlignment="1">
      <alignment horizontal="right" vertical="center"/>
    </xf>
    <xf numFmtId="0" fontId="47" fillId="0" borderId="0" xfId="4" applyFont="1" applyAlignment="1">
      <alignment horizontal="center" vertical="center"/>
    </xf>
    <xf numFmtId="0" fontId="44" fillId="0" borderId="0" xfId="4" applyFont="1" applyAlignment="1">
      <alignment vertical="center"/>
    </xf>
    <xf numFmtId="43" fontId="6" fillId="4" borderId="33" xfId="1" applyFont="1" applyFill="1" applyBorder="1" applyAlignment="1" applyProtection="1">
      <alignment horizontal="center" vertical="center" wrapText="1"/>
    </xf>
    <xf numFmtId="164" fontId="42" fillId="23" borderId="0" xfId="115" applyFont="1" applyFill="1" applyBorder="1" applyAlignment="1">
      <alignment horizontal="center" vertical="center"/>
    </xf>
    <xf numFmtId="0" fontId="40" fillId="25" borderId="30" xfId="4" applyFont="1" applyFill="1" applyBorder="1" applyAlignment="1">
      <alignment vertical="center"/>
    </xf>
    <xf numFmtId="0" fontId="40" fillId="25" borderId="31" xfId="4" applyFont="1" applyFill="1" applyBorder="1" applyAlignment="1">
      <alignment vertical="center"/>
    </xf>
    <xf numFmtId="0" fontId="40" fillId="25" borderId="32" xfId="4" applyFont="1" applyFill="1" applyBorder="1" applyAlignment="1">
      <alignment vertical="center"/>
    </xf>
    <xf numFmtId="43" fontId="12" fillId="0" borderId="3" xfId="1" applyFon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left" vertical="center" wrapText="1"/>
    </xf>
    <xf numFmtId="43" fontId="12" fillId="0" borderId="3" xfId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4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43" fontId="12" fillId="38" borderId="3" xfId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38" borderId="3" xfId="1" applyFont="1" applyFill="1" applyBorder="1" applyAlignment="1">
      <alignment horizontal="left" vertical="center" wrapText="1"/>
    </xf>
    <xf numFmtId="43" fontId="75" fillId="38" borderId="3" xfId="1" applyFont="1" applyFill="1" applyBorder="1" applyAlignment="1">
      <alignment horizontal="center" vertical="center" wrapText="1"/>
    </xf>
    <xf numFmtId="43" fontId="75" fillId="38" borderId="3" xfId="1" applyFont="1" applyFill="1" applyBorder="1" applyAlignment="1">
      <alignment horizontal="left" vertical="center" wrapText="1"/>
    </xf>
    <xf numFmtId="164" fontId="76" fillId="27" borderId="35" xfId="115" applyFont="1" applyFill="1" applyBorder="1" applyAlignment="1">
      <alignment horizontal="right" vertical="center" wrapText="1"/>
    </xf>
    <xf numFmtId="164" fontId="76" fillId="4" borderId="35" xfId="115" applyFont="1" applyFill="1" applyBorder="1" applyAlignment="1">
      <alignment horizontal="right" vertical="center" wrapText="1"/>
    </xf>
    <xf numFmtId="164" fontId="76" fillId="29" borderId="35" xfId="115" applyFont="1" applyFill="1" applyBorder="1" applyAlignment="1">
      <alignment horizontal="right" vertical="center" wrapText="1"/>
    </xf>
    <xf numFmtId="164" fontId="76" fillId="0" borderId="35" xfId="115" applyFont="1" applyBorder="1" applyAlignment="1">
      <alignment horizontal="right" vertical="center" wrapText="1"/>
    </xf>
    <xf numFmtId="164" fontId="76" fillId="30" borderId="35" xfId="115" applyFont="1" applyFill="1" applyBorder="1" applyAlignment="1">
      <alignment horizontal="right" vertical="center" wrapText="1"/>
    </xf>
    <xf numFmtId="164" fontId="77" fillId="30" borderId="35" xfId="115" applyFont="1" applyFill="1" applyBorder="1" applyAlignment="1">
      <alignment horizontal="right" vertical="center" wrapText="1"/>
    </xf>
    <xf numFmtId="164" fontId="76" fillId="28" borderId="35" xfId="115" applyFont="1" applyFill="1" applyBorder="1" applyAlignment="1">
      <alignment horizontal="right" vertical="center" wrapText="1"/>
    </xf>
    <xf numFmtId="164" fontId="76" fillId="26" borderId="35" xfId="115" applyFont="1" applyFill="1" applyBorder="1" applyAlignment="1">
      <alignment horizontal="right" vertical="center" wrapText="1"/>
    </xf>
    <xf numFmtId="164" fontId="76" fillId="0" borderId="35" xfId="115" applyFont="1" applyFill="1" applyBorder="1" applyAlignment="1">
      <alignment horizontal="right" vertical="center" wrapText="1"/>
    </xf>
    <xf numFmtId="164" fontId="76" fillId="32" borderId="35" xfId="115" applyFont="1" applyFill="1" applyBorder="1" applyAlignment="1">
      <alignment horizontal="right" vertical="center" wrapText="1"/>
    </xf>
    <xf numFmtId="164" fontId="76" fillId="31" borderId="35" xfId="115" applyFont="1" applyFill="1" applyBorder="1" applyAlignment="1">
      <alignment horizontal="right" vertical="center" wrapText="1"/>
    </xf>
    <xf numFmtId="164" fontId="76" fillId="33" borderId="35" xfId="115" applyFont="1" applyFill="1" applyBorder="1" applyAlignment="1">
      <alignment horizontal="right" vertical="center" wrapText="1"/>
    </xf>
    <xf numFmtId="164" fontId="76" fillId="34" borderId="36" xfId="115" applyFont="1" applyFill="1" applyBorder="1" applyAlignment="1">
      <alignment horizontal="right" vertical="center" wrapText="1"/>
    </xf>
    <xf numFmtId="0" fontId="71" fillId="0" borderId="93" xfId="79" applyFont="1" applyBorder="1" applyAlignment="1">
      <alignment horizontal="center" vertical="center" wrapText="1"/>
    </xf>
    <xf numFmtId="0" fontId="72" fillId="0" borderId="4" xfId="79" applyFont="1" applyBorder="1" applyAlignment="1">
      <alignment horizontal="left" vertical="center" wrapText="1"/>
    </xf>
    <xf numFmtId="0" fontId="72" fillId="0" borderId="4" xfId="5" applyFont="1" applyBorder="1" applyAlignment="1">
      <alignment horizontal="left" vertical="center" wrapText="1"/>
    </xf>
    <xf numFmtId="0" fontId="72" fillId="0" borderId="4" xfId="5" applyFont="1" applyBorder="1" applyAlignment="1">
      <alignment horizontal="center" vertical="center" wrapText="1"/>
    </xf>
    <xf numFmtId="43" fontId="72" fillId="0" borderId="4" xfId="1" applyFont="1" applyBorder="1" applyAlignment="1">
      <alignment horizontal="center" vertical="center" wrapText="1"/>
    </xf>
    <xf numFmtId="0" fontId="71" fillId="0" borderId="6" xfId="79" applyFont="1" applyBorder="1" applyAlignment="1">
      <alignment horizontal="center" vertical="center" wrapText="1"/>
    </xf>
    <xf numFmtId="0" fontId="71" fillId="0" borderId="94" xfId="79" applyFont="1" applyBorder="1" applyAlignment="1">
      <alignment horizontal="center" vertical="center" wrapText="1"/>
    </xf>
    <xf numFmtId="0" fontId="72" fillId="0" borderId="92" xfId="79" applyFont="1" applyBorder="1" applyAlignment="1">
      <alignment horizontal="left" vertical="center" wrapText="1"/>
    </xf>
    <xf numFmtId="0" fontId="72" fillId="0" borderId="92" xfId="5" applyFont="1" applyBorder="1" applyAlignment="1">
      <alignment horizontal="left" vertical="center" wrapText="1"/>
    </xf>
    <xf numFmtId="0" fontId="72" fillId="0" borderId="92" xfId="5" applyFont="1" applyBorder="1" applyAlignment="1">
      <alignment horizontal="center" vertical="center" wrapText="1"/>
    </xf>
    <xf numFmtId="43" fontId="72" fillId="0" borderId="92" xfId="1" applyFont="1" applyBorder="1" applyAlignment="1">
      <alignment horizontal="center" vertical="center" wrapText="1"/>
    </xf>
    <xf numFmtId="0" fontId="70" fillId="38" borderId="93" xfId="79" applyFont="1" applyFill="1" applyBorder="1" applyAlignment="1">
      <alignment horizontal="center" vertical="center" wrapText="1"/>
    </xf>
    <xf numFmtId="0" fontId="8" fillId="38" borderId="4" xfId="79" applyFont="1" applyFill="1" applyBorder="1" applyAlignment="1">
      <alignment horizontal="left" vertical="center" wrapText="1"/>
    </xf>
    <xf numFmtId="0" fontId="70" fillId="38" borderId="4" xfId="79" applyFont="1" applyFill="1" applyBorder="1" applyAlignment="1">
      <alignment horizontal="left" vertical="center" wrapText="1"/>
    </xf>
    <xf numFmtId="0" fontId="70" fillId="38" borderId="4" xfId="79" applyFont="1" applyFill="1" applyBorder="1" applyAlignment="1">
      <alignment horizontal="center" vertical="center" wrapText="1"/>
    </xf>
    <xf numFmtId="43" fontId="70" fillId="38" borderId="4" xfId="1" applyFont="1" applyFill="1" applyBorder="1" applyAlignment="1">
      <alignment horizontal="left" vertical="center" wrapText="1"/>
    </xf>
    <xf numFmtId="0" fontId="70" fillId="38" borderId="6" xfId="79" applyFont="1" applyFill="1" applyBorder="1" applyAlignment="1">
      <alignment horizontal="center" vertical="center" wrapText="1"/>
    </xf>
    <xf numFmtId="0" fontId="73" fillId="4" borderId="6" xfId="79" applyFont="1" applyFill="1" applyBorder="1" applyAlignment="1">
      <alignment horizontal="center" vertical="center" wrapText="1"/>
    </xf>
    <xf numFmtId="0" fontId="72" fillId="38" borderId="6" xfId="79" applyFont="1" applyFill="1" applyBorder="1" applyAlignment="1">
      <alignment horizontal="center" vertical="center" wrapText="1"/>
    </xf>
    <xf numFmtId="0" fontId="69" fillId="38" borderId="6" xfId="79" applyFont="1" applyFill="1" applyBorder="1" applyAlignment="1">
      <alignment horizontal="center" vertical="center" wrapText="1"/>
    </xf>
    <xf numFmtId="43" fontId="72" fillId="0" borderId="92" xfId="1" applyFont="1" applyBorder="1" applyAlignment="1">
      <alignment horizontal="left" vertical="center" wrapText="1"/>
    </xf>
    <xf numFmtId="0" fontId="12" fillId="38" borderId="93" xfId="79" applyFont="1" applyFill="1" applyBorder="1" applyAlignment="1">
      <alignment horizontal="center" vertical="center" wrapText="1"/>
    </xf>
    <xf numFmtId="0" fontId="8" fillId="38" borderId="4" xfId="79" applyFont="1" applyFill="1" applyBorder="1" applyAlignment="1">
      <alignment horizontal="center" vertical="center" wrapText="1"/>
    </xf>
    <xf numFmtId="43" fontId="8" fillId="38" borderId="4" xfId="1" applyFont="1" applyFill="1" applyBorder="1" applyAlignment="1">
      <alignment horizontal="center" vertical="center" wrapText="1"/>
    </xf>
    <xf numFmtId="0" fontId="12" fillId="38" borderId="6" xfId="79" applyFont="1" applyFill="1" applyBorder="1" applyAlignment="1">
      <alignment horizontal="center" vertical="center" wrapText="1"/>
    </xf>
    <xf numFmtId="0" fontId="72" fillId="0" borderId="6" xfId="79" applyFont="1" applyBorder="1" applyAlignment="1">
      <alignment horizontal="center" vertical="center" wrapText="1"/>
    </xf>
    <xf numFmtId="0" fontId="72" fillId="4" borderId="6" xfId="79" applyFont="1" applyFill="1" applyBorder="1" applyAlignment="1">
      <alignment horizontal="center" vertical="center" wrapText="1"/>
    </xf>
    <xf numFmtId="0" fontId="12" fillId="4" borderId="6" xfId="79" applyFont="1" applyFill="1" applyBorder="1" applyAlignment="1">
      <alignment horizontal="center" vertical="center" wrapText="1"/>
    </xf>
    <xf numFmtId="0" fontId="72" fillId="0" borderId="94" xfId="79" applyFont="1" applyBorder="1" applyAlignment="1">
      <alignment horizontal="center" vertical="center" wrapText="1"/>
    </xf>
    <xf numFmtId="0" fontId="72" fillId="0" borderId="92" xfId="79" applyFont="1" applyBorder="1" applyAlignment="1">
      <alignment horizontal="center" vertical="center"/>
    </xf>
    <xf numFmtId="43" fontId="72" fillId="0" borderId="92" xfId="1" applyFont="1" applyBorder="1" applyAlignment="1">
      <alignment horizontal="center" vertical="center"/>
    </xf>
    <xf numFmtId="43" fontId="12" fillId="0" borderId="92" xfId="1" applyFont="1" applyBorder="1" applyAlignment="1">
      <alignment horizontal="center" vertical="center"/>
    </xf>
    <xf numFmtId="0" fontId="72" fillId="0" borderId="95" xfId="79" applyFont="1" applyBorder="1" applyAlignment="1">
      <alignment horizontal="center" vertical="center" wrapText="1"/>
    </xf>
    <xf numFmtId="0" fontId="72" fillId="0" borderId="20" xfId="79" applyFont="1" applyBorder="1" applyAlignment="1">
      <alignment horizontal="left" vertical="center" wrapText="1"/>
    </xf>
    <xf numFmtId="0" fontId="72" fillId="0" borderId="21" xfId="5" applyFont="1" applyBorder="1" applyAlignment="1">
      <alignment horizontal="left" vertical="center" wrapText="1"/>
    </xf>
    <xf numFmtId="0" fontId="72" fillId="0" borderId="21" xfId="79" applyFont="1" applyBorder="1" applyAlignment="1">
      <alignment horizontal="center" vertical="center"/>
    </xf>
    <xf numFmtId="43" fontId="72" fillId="0" borderId="21" xfId="1" applyFont="1" applyBorder="1" applyAlignment="1">
      <alignment horizontal="center" vertical="center"/>
    </xf>
    <xf numFmtId="0" fontId="43" fillId="3" borderId="23" xfId="4" applyFont="1" applyFill="1" applyBorder="1" applyAlignment="1">
      <alignment horizontal="center" vertical="center"/>
    </xf>
    <xf numFmtId="0" fontId="43" fillId="3" borderId="24" xfId="4" applyFont="1" applyFill="1" applyBorder="1" applyAlignment="1">
      <alignment horizontal="center" vertical="center"/>
    </xf>
    <xf numFmtId="0" fontId="43" fillId="3" borderId="48" xfId="4" applyFont="1" applyFill="1" applyBorder="1" applyAlignment="1">
      <alignment horizontal="center" vertical="center"/>
    </xf>
    <xf numFmtId="0" fontId="43" fillId="3" borderId="49" xfId="4" applyFont="1" applyFill="1" applyBorder="1" applyAlignment="1">
      <alignment horizontal="center" vertical="center"/>
    </xf>
    <xf numFmtId="0" fontId="43" fillId="3" borderId="27" xfId="4" applyFont="1" applyFill="1" applyBorder="1" applyAlignment="1">
      <alignment horizontal="center" vertical="center"/>
    </xf>
    <xf numFmtId="0" fontId="43" fillId="3" borderId="50" xfId="4" applyFont="1" applyFill="1" applyBorder="1" applyAlignment="1">
      <alignment horizontal="center" vertical="center"/>
    </xf>
    <xf numFmtId="0" fontId="45" fillId="23" borderId="14" xfId="4" applyFont="1" applyFill="1" applyBorder="1" applyAlignment="1">
      <alignment horizontal="right" vertical="center"/>
    </xf>
    <xf numFmtId="0" fontId="8" fillId="0" borderId="0" xfId="79" applyFont="1" applyAlignment="1">
      <alignment vertical="center"/>
    </xf>
    <xf numFmtId="20" fontId="8" fillId="0" borderId="0" xfId="79" applyNumberFormat="1" applyFont="1" applyAlignment="1">
      <alignment horizontal="center" vertical="center"/>
    </xf>
    <xf numFmtId="0" fontId="6" fillId="0" borderId="0" xfId="79" applyFont="1" applyAlignment="1">
      <alignment vertical="center"/>
    </xf>
    <xf numFmtId="0" fontId="10" fillId="0" borderId="0" xfId="79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79" applyNumberFormat="1" applyFont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79" applyFont="1" applyBorder="1" applyAlignment="1">
      <alignment horizontal="center" vertical="center" wrapText="1"/>
    </xf>
    <xf numFmtId="0" fontId="6" fillId="0" borderId="0" xfId="79" applyFont="1" applyAlignment="1">
      <alignment horizontal="center" vertical="center" wrapText="1"/>
    </xf>
    <xf numFmtId="174" fontId="6" fillId="0" borderId="9" xfId="117" applyFont="1" applyBorder="1" applyAlignment="1">
      <alignment horizontal="left" vertical="center"/>
    </xf>
    <xf numFmtId="166" fontId="10" fillId="0" borderId="9" xfId="79" applyNumberFormat="1" applyFont="1" applyBorder="1" applyAlignment="1">
      <alignment horizontal="right" vertical="center" wrapText="1"/>
    </xf>
    <xf numFmtId="166" fontId="10" fillId="0" borderId="0" xfId="79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79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79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79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79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79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79" applyFont="1" applyAlignment="1">
      <alignment vertical="center"/>
    </xf>
    <xf numFmtId="166" fontId="13" fillId="0" borderId="0" xfId="79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4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97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76" fontId="10" fillId="0" borderId="98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176" fontId="10" fillId="0" borderId="98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176" fontId="10" fillId="0" borderId="15" xfId="1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76" fontId="10" fillId="0" borderId="95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79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97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92" xfId="1" applyNumberFormat="1" applyFont="1" applyFill="1" applyBorder="1" applyAlignment="1" applyProtection="1">
      <alignment horizontal="right" vertical="center"/>
    </xf>
    <xf numFmtId="175" fontId="11" fillId="2" borderId="92" xfId="1" applyNumberFormat="1" applyFont="1" applyFill="1" applyBorder="1" applyAlignment="1" applyProtection="1">
      <alignment horizontal="right" vertical="center"/>
    </xf>
    <xf numFmtId="10" fontId="11" fillId="4" borderId="59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79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79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79" applyNumberFormat="1" applyFont="1" applyBorder="1" applyAlignment="1">
      <alignment horizontal="right" vertical="center"/>
    </xf>
    <xf numFmtId="43" fontId="11" fillId="0" borderId="0" xfId="79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4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97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4" xfId="1" applyNumberFormat="1" applyFont="1" applyFill="1" applyBorder="1" applyAlignment="1" applyProtection="1">
      <alignment horizontal="right" vertical="center"/>
    </xf>
    <xf numFmtId="43" fontId="11" fillId="0" borderId="34" xfId="1" applyFont="1" applyBorder="1" applyAlignment="1" applyProtection="1">
      <alignment horizontal="right" vertical="center"/>
    </xf>
    <xf numFmtId="175" fontId="11" fillId="4" borderId="21" xfId="1" applyNumberFormat="1" applyFont="1" applyFill="1" applyBorder="1" applyAlignment="1" applyProtection="1">
      <alignment horizontal="right" vertical="center"/>
    </xf>
    <xf numFmtId="0" fontId="10" fillId="0" borderId="0" xfId="79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79" applyNumberFormat="1" applyFont="1" applyAlignment="1">
      <alignment vertical="center"/>
    </xf>
    <xf numFmtId="0" fontId="80" fillId="0" borderId="0" xfId="79" applyFont="1" applyAlignment="1">
      <alignment vertical="center"/>
    </xf>
    <xf numFmtId="0" fontId="8" fillId="0" borderId="0" xfId="79" applyFont="1" applyAlignment="1">
      <alignment horizontal="center" vertical="center"/>
    </xf>
    <xf numFmtId="0" fontId="40" fillId="23" borderId="0" xfId="4" applyFont="1" applyFill="1" applyAlignment="1">
      <alignment vertical="center"/>
    </xf>
    <xf numFmtId="177" fontId="82" fillId="23" borderId="0" xfId="128" applyNumberFormat="1" applyFont="1" applyFill="1" applyAlignment="1">
      <alignment horizontal="center" vertical="center"/>
    </xf>
    <xf numFmtId="0" fontId="44" fillId="23" borderId="0" xfId="4" applyFont="1" applyFill="1" applyAlignment="1">
      <alignment vertical="center"/>
    </xf>
    <xf numFmtId="0" fontId="83" fillId="0" borderId="0" xfId="4" applyFont="1" applyAlignment="1">
      <alignment vertical="center"/>
    </xf>
    <xf numFmtId="0" fontId="43" fillId="23" borderId="0" xfId="4" applyFont="1" applyFill="1" applyAlignment="1">
      <alignment horizontal="left" vertical="center"/>
    </xf>
    <xf numFmtId="0" fontId="43" fillId="23" borderId="0" xfId="4" applyFont="1" applyFill="1" applyAlignment="1">
      <alignment horizontal="center" vertical="center"/>
    </xf>
    <xf numFmtId="177" fontId="43" fillId="23" borderId="0" xfId="128" applyNumberFormat="1" applyFont="1" applyFill="1" applyAlignment="1">
      <alignment horizontal="center" vertical="center"/>
    </xf>
    <xf numFmtId="0" fontId="84" fillId="23" borderId="0" xfId="4" applyFont="1" applyFill="1" applyAlignment="1">
      <alignment horizontal="center" vertical="center"/>
    </xf>
    <xf numFmtId="0" fontId="85" fillId="0" borderId="0" xfId="4" applyFont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0" fillId="3" borderId="30" xfId="4" applyFont="1" applyFill="1" applyBorder="1" applyAlignment="1">
      <alignment vertical="center"/>
    </xf>
    <xf numFmtId="0" fontId="45" fillId="23" borderId="23" xfId="4" applyFont="1" applyFill="1" applyBorder="1" applyAlignment="1">
      <alignment vertical="center"/>
    </xf>
    <xf numFmtId="177" fontId="82" fillId="23" borderId="24" xfId="128" applyNumberFormat="1" applyFont="1" applyFill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177" fontId="45" fillId="23" borderId="0" xfId="128" applyNumberFormat="1" applyFont="1" applyFill="1" applyBorder="1" applyAlignment="1">
      <alignment horizontal="center" vertical="center"/>
    </xf>
    <xf numFmtId="0" fontId="45" fillId="23" borderId="13" xfId="130" applyFont="1" applyFill="1" applyBorder="1" applyAlignment="1">
      <alignment horizontal="left" vertical="center"/>
    </xf>
    <xf numFmtId="0" fontId="45" fillId="23" borderId="0" xfId="130" applyFont="1" applyFill="1" applyAlignment="1">
      <alignment horizontal="left" vertical="center"/>
    </xf>
    <xf numFmtId="0" fontId="45" fillId="23" borderId="0" xfId="130" applyFont="1" applyFill="1" applyAlignment="1">
      <alignment horizontal="center" vertical="center"/>
    </xf>
    <xf numFmtId="0" fontId="45" fillId="23" borderId="34" xfId="130" applyFont="1" applyFill="1" applyBorder="1" applyAlignment="1">
      <alignment horizontal="center" vertical="center"/>
    </xf>
    <xf numFmtId="0" fontId="45" fillId="23" borderId="51" xfId="130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vertical="center"/>
    </xf>
    <xf numFmtId="177" fontId="82" fillId="23" borderId="0" xfId="128" applyNumberFormat="1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left" vertical="center"/>
    </xf>
    <xf numFmtId="0" fontId="45" fillId="23" borderId="0" xfId="4" applyFont="1" applyFill="1" applyAlignment="1">
      <alignment horizontal="left" vertical="center"/>
    </xf>
    <xf numFmtId="0" fontId="45" fillId="23" borderId="49" xfId="4" applyFont="1" applyFill="1" applyBorder="1" applyAlignment="1">
      <alignment vertical="center"/>
    </xf>
    <xf numFmtId="177" fontId="82" fillId="23" borderId="27" xfId="128" applyNumberFormat="1" applyFont="1" applyFill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0" fillId="23" borderId="23" xfId="4" applyFont="1" applyFill="1" applyBorder="1" applyAlignment="1">
      <alignment vertical="center"/>
    </xf>
    <xf numFmtId="0" fontId="40" fillId="23" borderId="24" xfId="4" applyFont="1" applyFill="1" applyBorder="1" applyAlignment="1">
      <alignment vertical="center"/>
    </xf>
    <xf numFmtId="177" fontId="43" fillId="23" borderId="24" xfId="128" applyNumberFormat="1" applyFont="1" applyFill="1" applyBorder="1" applyAlignment="1">
      <alignment horizontal="center" vertical="center"/>
    </xf>
    <xf numFmtId="0" fontId="52" fillId="23" borderId="24" xfId="4" applyFont="1" applyFill="1" applyBorder="1" applyAlignment="1">
      <alignment horizontal="center" vertical="center"/>
    </xf>
    <xf numFmtId="0" fontId="52" fillId="23" borderId="0" xfId="4" applyFont="1" applyFill="1" applyAlignment="1">
      <alignment horizontal="center" vertical="center"/>
    </xf>
    <xf numFmtId="0" fontId="40" fillId="23" borderId="0" xfId="4" applyFont="1" applyFill="1" applyAlignment="1">
      <alignment horizontal="center" vertical="center"/>
    </xf>
    <xf numFmtId="0" fontId="40" fillId="23" borderId="51" xfId="4" applyFont="1" applyFill="1" applyBorder="1" applyAlignment="1">
      <alignment horizontal="center" vertical="center"/>
    </xf>
    <xf numFmtId="0" fontId="47" fillId="23" borderId="0" xfId="4" applyFont="1" applyFill="1" applyAlignment="1">
      <alignment vertical="center"/>
    </xf>
    <xf numFmtId="0" fontId="48" fillId="23" borderId="0" xfId="4" applyFont="1" applyFill="1" applyAlignment="1">
      <alignment horizontal="center" vertical="center"/>
    </xf>
    <xf numFmtId="0" fontId="86" fillId="23" borderId="0" xfId="4" applyFont="1" applyFill="1" applyAlignment="1">
      <alignment horizontal="center" vertical="center"/>
    </xf>
    <xf numFmtId="0" fontId="87" fillId="23" borderId="0" xfId="4" applyFont="1" applyFill="1" applyAlignment="1">
      <alignment horizontal="center" vertical="center"/>
    </xf>
    <xf numFmtId="0" fontId="48" fillId="24" borderId="33" xfId="5" applyFont="1" applyFill="1" applyBorder="1" applyAlignment="1">
      <alignment horizontal="center" vertical="center"/>
    </xf>
    <xf numFmtId="0" fontId="48" fillId="23" borderId="23" xfId="5" applyFont="1" applyFill="1" applyBorder="1" applyAlignment="1">
      <alignment horizontal="center" vertical="center"/>
    </xf>
    <xf numFmtId="0" fontId="48" fillId="23" borderId="30" xfId="5" applyFont="1" applyFill="1" applyBorder="1" applyAlignment="1">
      <alignment vertical="center" wrapText="1"/>
    </xf>
    <xf numFmtId="164" fontId="46" fillId="0" borderId="33" xfId="129" applyFont="1" applyFill="1" applyBorder="1" applyAlignment="1" applyProtection="1">
      <alignment horizontal="center" vertical="center" wrapText="1"/>
    </xf>
    <xf numFmtId="164" fontId="46" fillId="24" borderId="33" xfId="129" applyFont="1" applyFill="1" applyBorder="1" applyAlignment="1" applyProtection="1">
      <alignment horizontal="center" vertical="center" wrapText="1"/>
    </xf>
    <xf numFmtId="0" fontId="86" fillId="23" borderId="0" xfId="5" applyFont="1" applyFill="1" applyAlignment="1">
      <alignment vertical="center" wrapText="1"/>
    </xf>
    <xf numFmtId="0" fontId="44" fillId="24" borderId="0" xfId="130" applyFont="1" applyFill="1" applyAlignment="1">
      <alignment vertical="center"/>
    </xf>
    <xf numFmtId="0" fontId="48" fillId="23" borderId="0" xfId="5" applyFont="1" applyFill="1" applyAlignment="1">
      <alignment vertical="center" wrapText="1"/>
    </xf>
    <xf numFmtId="0" fontId="45" fillId="38" borderId="100" xfId="5" applyFont="1" applyFill="1" applyBorder="1" applyAlignment="1">
      <alignment horizontal="center" vertical="center" wrapText="1"/>
    </xf>
    <xf numFmtId="0" fontId="48" fillId="38" borderId="52" xfId="76" applyFont="1" applyFill="1" applyBorder="1" applyAlignment="1">
      <alignment horizontal="center" vertical="center" wrapText="1"/>
    </xf>
    <xf numFmtId="0" fontId="48" fillId="38" borderId="52" xfId="76" applyFont="1" applyFill="1" applyBorder="1" applyAlignment="1">
      <alignment horizontal="left" vertical="center" wrapText="1"/>
    </xf>
    <xf numFmtId="164" fontId="88" fillId="38" borderId="53" xfId="128" applyFont="1" applyFill="1" applyBorder="1" applyAlignment="1" applyProtection="1">
      <alignment horizontal="center" vertical="center" wrapText="1"/>
    </xf>
    <xf numFmtId="0" fontId="86" fillId="0" borderId="0" xfId="4" applyFont="1" applyAlignment="1">
      <alignment vertical="center" wrapText="1"/>
    </xf>
    <xf numFmtId="49" fontId="86" fillId="0" borderId="0" xfId="4" applyNumberFormat="1" applyFont="1" applyAlignment="1">
      <alignment vertical="center" wrapText="1"/>
    </xf>
    <xf numFmtId="0" fontId="48" fillId="0" borderId="0" xfId="4" applyFont="1" applyAlignment="1">
      <alignment vertical="center" wrapText="1"/>
    </xf>
    <xf numFmtId="164" fontId="48" fillId="0" borderId="0" xfId="4" applyNumberFormat="1" applyFont="1" applyAlignment="1">
      <alignment vertical="center" wrapText="1"/>
    </xf>
    <xf numFmtId="0" fontId="45" fillId="4" borderId="54" xfId="5" applyFont="1" applyFill="1" applyBorder="1" applyAlignment="1">
      <alignment horizontal="center" vertical="center" wrapText="1"/>
    </xf>
    <xf numFmtId="0" fontId="48" fillId="4" borderId="37" xfId="76" applyFont="1" applyFill="1" applyBorder="1" applyAlignment="1">
      <alignment horizontal="center" vertical="center" wrapText="1"/>
    </xf>
    <xf numFmtId="0" fontId="48" fillId="4" borderId="37" xfId="76" applyFont="1" applyFill="1" applyBorder="1" applyAlignment="1">
      <alignment horizontal="left" vertical="center" wrapText="1"/>
    </xf>
    <xf numFmtId="164" fontId="89" fillId="4" borderId="35" xfId="128" applyFont="1" applyFill="1" applyBorder="1" applyAlignment="1">
      <alignment horizontal="center" vertical="center" wrapText="1"/>
    </xf>
    <xf numFmtId="0" fontId="86" fillId="24" borderId="0" xfId="4" applyFont="1" applyFill="1" applyAlignment="1">
      <alignment vertical="center" wrapText="1"/>
    </xf>
    <xf numFmtId="0" fontId="53" fillId="31" borderId="54" xfId="5" applyFont="1" applyFill="1" applyBorder="1" applyAlignment="1">
      <alignment horizontal="center" vertical="center" wrapText="1"/>
    </xf>
    <xf numFmtId="0" fontId="54" fillId="31" borderId="37" xfId="76" applyFont="1" applyFill="1" applyBorder="1" applyAlignment="1">
      <alignment horizontal="center" vertical="center" wrapText="1"/>
    </xf>
    <xf numFmtId="0" fontId="54" fillId="31" borderId="37" xfId="76" applyFont="1" applyFill="1" applyBorder="1" applyAlignment="1">
      <alignment horizontal="left" vertical="center" wrapText="1"/>
    </xf>
    <xf numFmtId="164" fontId="89" fillId="31" borderId="35" xfId="128" applyFont="1" applyFill="1" applyBorder="1" applyAlignment="1">
      <alignment horizontal="center" vertical="center" wrapText="1"/>
    </xf>
    <xf numFmtId="0" fontId="54" fillId="0" borderId="0" xfId="4" applyFont="1" applyAlignment="1">
      <alignment vertical="center" wrapText="1"/>
    </xf>
    <xf numFmtId="0" fontId="45" fillId="0" borderId="54" xfId="5" applyFont="1" applyBorder="1" applyAlignment="1">
      <alignment horizontal="center" vertical="center" wrapText="1"/>
    </xf>
    <xf numFmtId="0" fontId="45" fillId="0" borderId="37" xfId="76" applyFont="1" applyBorder="1" applyAlignment="1">
      <alignment horizontal="center" vertical="center" wrapText="1"/>
    </xf>
    <xf numFmtId="0" fontId="45" fillId="0" borderId="37" xfId="76" applyFont="1" applyBorder="1" applyAlignment="1">
      <alignment horizontal="left" vertical="center" wrapText="1"/>
    </xf>
    <xf numFmtId="164" fontId="89" fillId="0" borderId="35" xfId="128" applyFont="1" applyBorder="1" applyAlignment="1">
      <alignment horizontal="center" vertical="center" wrapText="1"/>
    </xf>
    <xf numFmtId="49" fontId="47" fillId="0" borderId="0" xfId="4" applyNumberFormat="1" applyFont="1" applyAlignment="1">
      <alignment vertical="center" wrapText="1"/>
    </xf>
    <xf numFmtId="0" fontId="45" fillId="0" borderId="0" xfId="4" applyFont="1" applyAlignment="1">
      <alignment vertical="center" wrapText="1"/>
    </xf>
    <xf numFmtId="0" fontId="45" fillId="31" borderId="54" xfId="5" applyFont="1" applyFill="1" applyBorder="1" applyAlignment="1">
      <alignment horizontal="center" vertical="center" wrapText="1"/>
    </xf>
    <xf numFmtId="0" fontId="54" fillId="0" borderId="37" xfId="76" applyFont="1" applyBorder="1" applyAlignment="1">
      <alignment horizontal="center" vertical="center" wrapText="1"/>
    </xf>
    <xf numFmtId="0" fontId="54" fillId="0" borderId="37" xfId="76" applyFont="1" applyBorder="1" applyAlignment="1">
      <alignment horizontal="left" vertical="center" wrapText="1"/>
    </xf>
    <xf numFmtId="0" fontId="45" fillId="0" borderId="100" xfId="5" applyFont="1" applyBorder="1" applyAlignment="1">
      <alignment horizontal="center" vertical="center" wrapText="1"/>
    </xf>
    <xf numFmtId="0" fontId="45" fillId="0" borderId="56" xfId="5" applyFont="1" applyBorder="1" applyAlignment="1">
      <alignment horizontal="center" vertical="center" wrapText="1"/>
    </xf>
    <xf numFmtId="0" fontId="45" fillId="0" borderId="18" xfId="76" applyFont="1" applyBorder="1" applyAlignment="1">
      <alignment horizontal="center" vertical="center" wrapText="1"/>
    </xf>
    <xf numFmtId="0" fontId="45" fillId="0" borderId="18" xfId="76" applyFont="1" applyBorder="1" applyAlignment="1">
      <alignment horizontal="left" vertical="center" wrapText="1"/>
    </xf>
    <xf numFmtId="0" fontId="45" fillId="4" borderId="100" xfId="5" applyFont="1" applyFill="1" applyBorder="1" applyAlignment="1">
      <alignment horizontal="center" vertical="center" wrapText="1"/>
    </xf>
    <xf numFmtId="0" fontId="48" fillId="4" borderId="52" xfId="76" applyFont="1" applyFill="1" applyBorder="1" applyAlignment="1">
      <alignment horizontal="center" vertical="center" wrapText="1"/>
    </xf>
    <xf numFmtId="0" fontId="48" fillId="4" borderId="52" xfId="76" applyFont="1" applyFill="1" applyBorder="1" applyAlignment="1">
      <alignment horizontal="left" vertical="center" wrapText="1"/>
    </xf>
    <xf numFmtId="164" fontId="89" fillId="4" borderId="53" xfId="128" applyFont="1" applyFill="1" applyBorder="1" applyAlignment="1">
      <alignment horizontal="center" vertical="center" wrapText="1"/>
    </xf>
    <xf numFmtId="164" fontId="89" fillId="38" borderId="53" xfId="128" applyFont="1" applyFill="1" applyBorder="1" applyAlignment="1">
      <alignment horizontal="center" vertical="center" wrapText="1"/>
    </xf>
    <xf numFmtId="0" fontId="45" fillId="24" borderId="54" xfId="5" applyFont="1" applyFill="1" applyBorder="1" applyAlignment="1">
      <alignment horizontal="center" vertical="center" wrapText="1"/>
    </xf>
    <xf numFmtId="0" fontId="45" fillId="24" borderId="37" xfId="76" applyFont="1" applyFill="1" applyBorder="1" applyAlignment="1">
      <alignment horizontal="center" vertical="center" wrapText="1"/>
    </xf>
    <xf numFmtId="0" fontId="45" fillId="24" borderId="37" xfId="76" applyFont="1" applyFill="1" applyBorder="1" applyAlignment="1">
      <alignment horizontal="left" vertical="center" wrapText="1"/>
    </xf>
    <xf numFmtId="49" fontId="47" fillId="24" borderId="0" xfId="4" applyNumberFormat="1" applyFont="1" applyFill="1" applyAlignment="1">
      <alignment vertical="center" wrapText="1"/>
    </xf>
    <xf numFmtId="0" fontId="47" fillId="24" borderId="0" xfId="4" applyFont="1" applyFill="1" applyAlignment="1">
      <alignment vertical="center" wrapText="1"/>
    </xf>
    <xf numFmtId="49" fontId="45" fillId="24" borderId="0" xfId="4" applyNumberFormat="1" applyFont="1" applyFill="1" applyAlignment="1">
      <alignment vertical="center" wrapText="1"/>
    </xf>
    <xf numFmtId="0" fontId="55" fillId="24" borderId="54" xfId="5" applyFont="1" applyFill="1" applyBorder="1" applyAlignment="1">
      <alignment horizontal="center" vertical="center" wrapText="1"/>
    </xf>
    <xf numFmtId="0" fontId="45" fillId="39" borderId="54" xfId="5" applyFont="1" applyFill="1" applyBorder="1" applyAlignment="1">
      <alignment horizontal="center" vertical="center" wrapText="1"/>
    </xf>
    <xf numFmtId="0" fontId="45" fillId="39" borderId="37" xfId="76" applyFont="1" applyFill="1" applyBorder="1" applyAlignment="1">
      <alignment horizontal="center" vertical="center" wrapText="1"/>
    </xf>
    <xf numFmtId="0" fontId="45" fillId="39" borderId="37" xfId="76" applyFont="1" applyFill="1" applyBorder="1" applyAlignment="1">
      <alignment horizontal="left" vertical="center" wrapText="1"/>
    </xf>
    <xf numFmtId="164" fontId="89" fillId="39" borderId="35" xfId="128" applyFont="1" applyFill="1" applyBorder="1" applyAlignment="1">
      <alignment horizontal="center" vertical="center" wrapText="1"/>
    </xf>
    <xf numFmtId="0" fontId="45" fillId="24" borderId="37" xfId="76" applyFont="1" applyFill="1" applyBorder="1" applyAlignment="1">
      <alignment vertical="center" wrapText="1"/>
    </xf>
    <xf numFmtId="0" fontId="45" fillId="24" borderId="54" xfId="5" applyFont="1" applyFill="1" applyBorder="1" applyAlignment="1">
      <alignment horizontal="center" vertical="center"/>
    </xf>
    <xf numFmtId="0" fontId="55" fillId="39" borderId="54" xfId="5" applyFont="1" applyFill="1" applyBorder="1" applyAlignment="1">
      <alignment horizontal="center" vertical="center"/>
    </xf>
    <xf numFmtId="0" fontId="45" fillId="39" borderId="37" xfId="76" applyFont="1" applyFill="1" applyBorder="1" applyAlignment="1">
      <alignment vertical="center" wrapText="1"/>
    </xf>
    <xf numFmtId="0" fontId="47" fillId="0" borderId="0" xfId="4" applyFont="1" applyAlignment="1">
      <alignment vertical="center" wrapText="1"/>
    </xf>
    <xf numFmtId="49" fontId="45" fillId="0" borderId="0" xfId="4" applyNumberFormat="1" applyFont="1" applyAlignment="1">
      <alignment vertical="center" wrapText="1"/>
    </xf>
    <xf numFmtId="0" fontId="45" fillId="0" borderId="54" xfId="5" applyFont="1" applyBorder="1" applyAlignment="1">
      <alignment horizontal="center" vertical="center"/>
    </xf>
    <xf numFmtId="0" fontId="45" fillId="0" borderId="37" xfId="76" applyFont="1" applyBorder="1" applyAlignment="1">
      <alignment vertical="center" wrapText="1"/>
    </xf>
    <xf numFmtId="0" fontId="45" fillId="0" borderId="101" xfId="5" applyFont="1" applyBorder="1" applyAlignment="1">
      <alignment horizontal="center" vertical="center"/>
    </xf>
    <xf numFmtId="0" fontId="90" fillId="31" borderId="54" xfId="5" applyFont="1" applyFill="1" applyBorder="1" applyAlignment="1">
      <alignment horizontal="center" vertical="center" wrapText="1"/>
    </xf>
    <xf numFmtId="0" fontId="45" fillId="0" borderId="35" xfId="76" applyFont="1" applyBorder="1" applyAlignment="1">
      <alignment horizontal="center" vertical="center" wrapText="1"/>
    </xf>
    <xf numFmtId="0" fontId="45" fillId="0" borderId="2" xfId="131" applyFont="1" applyBorder="1" applyAlignment="1">
      <alignment horizontal="left" vertical="center"/>
    </xf>
    <xf numFmtId="0" fontId="45" fillId="0" borderId="35" xfId="131" applyFont="1" applyBorder="1" applyAlignment="1">
      <alignment horizontal="center" vertical="center"/>
    </xf>
    <xf numFmtId="0" fontId="45" fillId="0" borderId="35" xfId="76" applyFont="1" applyBorder="1" applyAlignment="1">
      <alignment horizontal="left" vertical="center" wrapText="1"/>
    </xf>
    <xf numFmtId="0" fontId="45" fillId="39" borderId="35" xfId="76" applyFont="1" applyFill="1" applyBorder="1" applyAlignment="1">
      <alignment horizontal="center" vertical="center" wrapText="1"/>
    </xf>
    <xf numFmtId="0" fontId="45" fillId="39" borderId="35" xfId="76" applyFont="1" applyFill="1" applyBorder="1" applyAlignment="1">
      <alignment horizontal="left" vertical="center" wrapText="1"/>
    </xf>
    <xf numFmtId="0" fontId="48" fillId="4" borderId="96" xfId="76" applyFont="1" applyFill="1" applyBorder="1" applyAlignment="1">
      <alignment horizontal="center" vertical="center" wrapText="1"/>
    </xf>
    <xf numFmtId="0" fontId="48" fillId="4" borderId="96" xfId="76" applyFont="1" applyFill="1" applyBorder="1" applyAlignment="1">
      <alignment horizontal="left" vertical="center" wrapText="1"/>
    </xf>
    <xf numFmtId="164" fontId="89" fillId="4" borderId="102" xfId="128" applyFont="1" applyFill="1" applyBorder="1" applyAlignment="1">
      <alignment horizontal="center" vertical="center" wrapText="1"/>
    </xf>
    <xf numFmtId="0" fontId="54" fillId="0" borderId="18" xfId="76" applyFont="1" applyBorder="1" applyAlignment="1">
      <alignment horizontal="center" vertical="center" wrapText="1"/>
    </xf>
    <xf numFmtId="0" fontId="54" fillId="0" borderId="18" xfId="76" applyFont="1" applyBorder="1" applyAlignment="1">
      <alignment horizontal="left" vertical="center" wrapText="1"/>
    </xf>
    <xf numFmtId="0" fontId="48" fillId="0" borderId="54" xfId="5" applyFont="1" applyBorder="1" applyAlignment="1">
      <alignment horizontal="center" vertical="center" wrapText="1"/>
    </xf>
    <xf numFmtId="0" fontId="48" fillId="0" borderId="56" xfId="5" applyFont="1" applyBorder="1" applyAlignment="1">
      <alignment horizontal="center" vertical="center" wrapText="1"/>
    </xf>
    <xf numFmtId="0" fontId="45" fillId="40" borderId="51" xfId="5" applyFont="1" applyFill="1" applyBorder="1" applyAlignment="1">
      <alignment horizontal="center" vertical="center" wrapText="1"/>
    </xf>
    <xf numFmtId="0" fontId="48" fillId="40" borderId="30" xfId="76" applyFont="1" applyFill="1" applyBorder="1" applyAlignment="1">
      <alignment horizontal="center" vertical="center" wrapText="1"/>
    </xf>
    <xf numFmtId="0" fontId="48" fillId="40" borderId="30" xfId="76" applyFont="1" applyFill="1" applyBorder="1" applyAlignment="1">
      <alignment horizontal="left" vertical="center" wrapText="1"/>
    </xf>
    <xf numFmtId="164" fontId="89" fillId="40" borderId="33" xfId="128" applyFont="1" applyFill="1" applyBorder="1" applyAlignment="1">
      <alignment horizontal="center" vertical="center" wrapText="1"/>
    </xf>
    <xf numFmtId="0" fontId="45" fillId="38" borderId="60" xfId="5" applyFont="1" applyFill="1" applyBorder="1" applyAlignment="1">
      <alignment horizontal="center" vertical="center" wrapText="1"/>
    </xf>
    <xf numFmtId="0" fontId="48" fillId="38" borderId="96" xfId="76" applyFont="1" applyFill="1" applyBorder="1" applyAlignment="1">
      <alignment horizontal="left" vertical="center" wrapText="1"/>
    </xf>
    <xf numFmtId="164" fontId="89" fillId="38" borderId="102" xfId="128" applyFont="1" applyFill="1" applyBorder="1" applyAlignment="1">
      <alignment horizontal="center" vertical="center" wrapText="1"/>
    </xf>
    <xf numFmtId="0" fontId="48" fillId="24" borderId="37" xfId="76" applyFont="1" applyFill="1" applyBorder="1" applyAlignment="1">
      <alignment horizontal="center" vertical="center" wrapText="1"/>
    </xf>
    <xf numFmtId="0" fontId="48" fillId="24" borderId="37" xfId="76" applyFont="1" applyFill="1" applyBorder="1" applyAlignment="1">
      <alignment horizontal="left" vertical="center" wrapText="1"/>
    </xf>
    <xf numFmtId="0" fontId="45" fillId="0" borderId="101" xfId="5" applyFont="1" applyBorder="1" applyAlignment="1">
      <alignment horizontal="center" vertical="center" wrapText="1"/>
    </xf>
    <xf numFmtId="0" fontId="48" fillId="24" borderId="18" xfId="76" applyFont="1" applyFill="1" applyBorder="1" applyAlignment="1">
      <alignment horizontal="center" vertical="center" wrapText="1"/>
    </xf>
    <xf numFmtId="0" fontId="48" fillId="24" borderId="18" xfId="76" applyFont="1" applyFill="1" applyBorder="1" applyAlignment="1">
      <alignment horizontal="left" vertical="center" wrapText="1"/>
    </xf>
    <xf numFmtId="0" fontId="48" fillId="0" borderId="37" xfId="76" applyFont="1" applyBorder="1" applyAlignment="1">
      <alignment horizontal="center" vertical="center" wrapText="1"/>
    </xf>
    <xf numFmtId="0" fontId="48" fillId="0" borderId="37" xfId="76" applyFont="1" applyBorder="1" applyAlignment="1">
      <alignment horizontal="left" vertical="center" wrapText="1"/>
    </xf>
    <xf numFmtId="0" fontId="48" fillId="0" borderId="18" xfId="76" applyFont="1" applyBorder="1" applyAlignment="1">
      <alignment horizontal="center" vertical="center" wrapText="1"/>
    </xf>
    <xf numFmtId="0" fontId="48" fillId="0" borderId="18" xfId="76" applyFont="1" applyBorder="1" applyAlignment="1">
      <alignment horizontal="left" vertical="center" wrapText="1"/>
    </xf>
    <xf numFmtId="0" fontId="54" fillId="24" borderId="37" xfId="76" applyFont="1" applyFill="1" applyBorder="1" applyAlignment="1">
      <alignment horizontal="center" vertical="center" wrapText="1"/>
    </xf>
    <xf numFmtId="0" fontId="54" fillId="24" borderId="37" xfId="76" applyFont="1" applyFill="1" applyBorder="1" applyAlignment="1">
      <alignment horizontal="left" vertical="center" wrapText="1"/>
    </xf>
    <xf numFmtId="0" fontId="54" fillId="0" borderId="6" xfId="76" applyFont="1" applyBorder="1" applyAlignment="1">
      <alignment horizontal="center" vertical="center" wrapText="1"/>
    </xf>
    <xf numFmtId="0" fontId="54" fillId="0" borderId="37" xfId="76" applyFont="1" applyBorder="1" applyAlignment="1">
      <alignment vertical="center" wrapText="1"/>
    </xf>
    <xf numFmtId="0" fontId="54" fillId="0" borderId="8" xfId="76" applyFont="1" applyBorder="1" applyAlignment="1">
      <alignment horizontal="center" vertical="center" wrapText="1"/>
    </xf>
    <xf numFmtId="0" fontId="54" fillId="0" borderId="8" xfId="76" applyFont="1" applyBorder="1" applyAlignment="1">
      <alignment horizontal="left" vertical="center" wrapText="1"/>
    </xf>
    <xf numFmtId="0" fontId="45" fillId="0" borderId="35" xfId="5" applyFont="1" applyBorder="1" applyAlignment="1">
      <alignment horizontal="center" vertical="center" wrapText="1"/>
    </xf>
    <xf numFmtId="0" fontId="54" fillId="0" borderId="35" xfId="76" applyFont="1" applyBorder="1" applyAlignment="1">
      <alignment horizontal="center" vertical="center" wrapText="1"/>
    </xf>
    <xf numFmtId="0" fontId="54" fillId="0" borderId="35" xfId="76" applyFont="1" applyBorder="1" applyAlignment="1">
      <alignment horizontal="left" vertical="center" wrapText="1"/>
    </xf>
    <xf numFmtId="0" fontId="48" fillId="38" borderId="96" xfId="76" applyFont="1" applyFill="1" applyBorder="1" applyAlignment="1">
      <alignment horizontal="center" vertical="center" wrapText="1"/>
    </xf>
    <xf numFmtId="0" fontId="45" fillId="38" borderId="54" xfId="5" applyFont="1" applyFill="1" applyBorder="1" applyAlignment="1">
      <alignment horizontal="center" vertical="center" wrapText="1"/>
    </xf>
    <xf numFmtId="0" fontId="48" fillId="38" borderId="37" xfId="76" applyFont="1" applyFill="1" applyBorder="1" applyAlignment="1">
      <alignment horizontal="center" vertical="center" wrapText="1"/>
    </xf>
    <xf numFmtId="0" fontId="48" fillId="24" borderId="54" xfId="5" applyFont="1" applyFill="1" applyBorder="1" applyAlignment="1">
      <alignment horizontal="center" vertical="center" wrapText="1"/>
    </xf>
    <xf numFmtId="0" fontId="54" fillId="24" borderId="6" xfId="76" applyFont="1" applyFill="1" applyBorder="1" applyAlignment="1">
      <alignment horizontal="center" vertical="center" wrapText="1"/>
    </xf>
    <xf numFmtId="0" fontId="54" fillId="24" borderId="37" xfId="76" applyFont="1" applyFill="1" applyBorder="1" applyAlignment="1">
      <alignment vertical="center" wrapText="1"/>
    </xf>
    <xf numFmtId="0" fontId="48" fillId="0" borderId="101" xfId="5" applyFont="1" applyBorder="1" applyAlignment="1">
      <alignment horizontal="center" vertical="center"/>
    </xf>
    <xf numFmtId="0" fontId="48" fillId="24" borderId="6" xfId="76" applyFont="1" applyFill="1" applyBorder="1" applyAlignment="1">
      <alignment horizontal="center" vertical="center" wrapText="1"/>
    </xf>
    <xf numFmtId="0" fontId="48" fillId="0" borderId="37" xfId="76" applyFont="1" applyBorder="1" applyAlignment="1">
      <alignment vertical="center" wrapText="1"/>
    </xf>
    <xf numFmtId="0" fontId="48" fillId="24" borderId="54" xfId="5" applyFont="1" applyFill="1" applyBorder="1" applyAlignment="1">
      <alignment horizontal="center" vertical="center"/>
    </xf>
    <xf numFmtId="0" fontId="45" fillId="24" borderId="6" xfId="76" applyFont="1" applyFill="1" applyBorder="1" applyAlignment="1">
      <alignment horizontal="center" vertical="center" wrapText="1"/>
    </xf>
    <xf numFmtId="0" fontId="54" fillId="0" borderId="35" xfId="131" applyFont="1" applyBorder="1" applyAlignment="1">
      <alignment vertical="center"/>
    </xf>
    <xf numFmtId="0" fontId="54" fillId="0" borderId="35" xfId="131" applyFont="1" applyBorder="1" applyAlignment="1">
      <alignment horizontal="center" vertical="center" wrapText="1"/>
    </xf>
    <xf numFmtId="0" fontId="54" fillId="0" borderId="35" xfId="131" applyFont="1" applyBorder="1" applyAlignment="1">
      <alignment vertical="center" wrapText="1"/>
    </xf>
    <xf numFmtId="0" fontId="48" fillId="0" borderId="101" xfId="5" applyFont="1" applyBorder="1" applyAlignment="1">
      <alignment horizontal="center" vertical="center" wrapText="1"/>
    </xf>
    <xf numFmtId="0" fontId="48" fillId="40" borderId="49" xfId="76" applyFont="1" applyFill="1" applyBorder="1" applyAlignment="1">
      <alignment horizontal="center" vertical="center" wrapText="1"/>
    </xf>
    <xf numFmtId="0" fontId="48" fillId="40" borderId="49" xfId="76" applyFont="1" applyFill="1" applyBorder="1" applyAlignment="1">
      <alignment horizontal="left" vertical="center" wrapText="1"/>
    </xf>
    <xf numFmtId="164" fontId="89" fillId="40" borderId="103" xfId="128" applyFont="1" applyFill="1" applyBorder="1" applyAlignment="1">
      <alignment horizontal="center" vertical="center" wrapText="1"/>
    </xf>
    <xf numFmtId="164" fontId="89" fillId="0" borderId="36" xfId="128" applyFont="1" applyBorder="1" applyAlignment="1">
      <alignment horizontal="center" vertical="center" wrapText="1"/>
    </xf>
    <xf numFmtId="49" fontId="47" fillId="23" borderId="0" xfId="4" applyNumberFormat="1" applyFont="1" applyFill="1" applyAlignment="1">
      <alignment vertical="center"/>
    </xf>
    <xf numFmtId="0" fontId="61" fillId="0" borderId="0" xfId="79" applyFont="1"/>
    <xf numFmtId="0" fontId="7" fillId="0" borderId="0" xfId="79"/>
    <xf numFmtId="0" fontId="92" fillId="5" borderId="106" xfId="132" applyFont="1" applyFill="1" applyBorder="1" applyAlignment="1">
      <alignment horizontal="right" vertical="center"/>
    </xf>
    <xf numFmtId="0" fontId="94" fillId="41" borderId="106" xfId="132" applyFont="1" applyFill="1" applyBorder="1" applyAlignment="1">
      <alignment vertical="center"/>
    </xf>
    <xf numFmtId="0" fontId="94" fillId="41" borderId="106" xfId="132" applyFont="1" applyFill="1" applyBorder="1" applyAlignment="1">
      <alignment horizontal="center" vertical="center"/>
    </xf>
    <xf numFmtId="0" fontId="94" fillId="0" borderId="106" xfId="132" applyFont="1" applyBorder="1" applyAlignment="1">
      <alignment vertical="center"/>
    </xf>
    <xf numFmtId="0" fontId="67" fillId="7" borderId="106" xfId="132" applyFont="1" applyFill="1" applyBorder="1" applyAlignment="1">
      <alignment horizontal="left" vertical="center"/>
    </xf>
    <xf numFmtId="0" fontId="92" fillId="0" borderId="106" xfId="132" applyFont="1" applyBorder="1" applyAlignment="1">
      <alignment vertical="center"/>
    </xf>
    <xf numFmtId="0" fontId="92" fillId="0" borderId="106" xfId="132" applyFont="1" applyBorder="1" applyAlignment="1">
      <alignment horizontal="left" vertical="center"/>
    </xf>
    <xf numFmtId="37" fontId="94" fillId="41" borderId="106" xfId="133" applyNumberFormat="1" applyFont="1" applyFill="1" applyBorder="1" applyAlignment="1">
      <alignment horizontal="center" vertical="center"/>
    </xf>
    <xf numFmtId="3" fontId="61" fillId="0" borderId="0" xfId="79" applyNumberFormat="1" applyFont="1"/>
    <xf numFmtId="3" fontId="7" fillId="0" borderId="0" xfId="79" applyNumberFormat="1"/>
    <xf numFmtId="0" fontId="98" fillId="0" borderId="106" xfId="132" applyFont="1" applyBorder="1" applyAlignment="1">
      <alignment vertical="center"/>
    </xf>
    <xf numFmtId="164" fontId="7" fillId="0" borderId="0" xfId="79" applyNumberFormat="1"/>
    <xf numFmtId="0" fontId="99" fillId="14" borderId="106" xfId="132" applyFont="1" applyFill="1" applyBorder="1" applyAlignment="1">
      <alignment vertical="center"/>
    </xf>
    <xf numFmtId="0" fontId="100" fillId="0" borderId="106" xfId="132" applyFont="1" applyBorder="1" applyAlignment="1">
      <alignment vertical="center"/>
    </xf>
    <xf numFmtId="0" fontId="98" fillId="0" borderId="106" xfId="132" applyFont="1" applyBorder="1" applyAlignment="1">
      <alignment horizontal="left" vertical="center" wrapText="1"/>
    </xf>
    <xf numFmtId="0" fontId="98" fillId="0" borderId="106" xfId="132" applyFont="1" applyBorder="1" applyAlignment="1">
      <alignment horizontal="left" vertical="center"/>
    </xf>
    <xf numFmtId="0" fontId="7" fillId="0" borderId="0" xfId="79" applyAlignment="1">
      <alignment horizontal="right"/>
    </xf>
    <xf numFmtId="0" fontId="61" fillId="0" borderId="0" xfId="79" quotePrefix="1" applyFont="1"/>
    <xf numFmtId="0" fontId="94" fillId="0" borderId="106" xfId="132" applyFont="1" applyBorder="1" applyAlignment="1">
      <alignment horizontal="left" vertical="center"/>
    </xf>
    <xf numFmtId="0" fontId="94" fillId="0" borderId="106" xfId="132" applyFont="1" applyBorder="1" applyAlignment="1">
      <alignment vertical="center" wrapText="1"/>
    </xf>
    <xf numFmtId="0" fontId="96" fillId="0" borderId="106" xfId="132" applyFont="1" applyBorder="1" applyAlignment="1">
      <alignment horizontal="center" vertical="center"/>
    </xf>
    <xf numFmtId="0" fontId="92" fillId="0" borderId="106" xfId="132" applyFont="1" applyBorder="1" applyAlignment="1">
      <alignment horizontal="center" vertical="center"/>
    </xf>
    <xf numFmtId="0" fontId="94" fillId="0" borderId="107" xfId="132" applyFont="1" applyBorder="1" applyAlignment="1">
      <alignment horizontal="left" vertical="center"/>
    </xf>
    <xf numFmtId="0" fontId="94" fillId="0" borderId="107" xfId="132" applyFont="1" applyBorder="1" applyAlignment="1">
      <alignment horizontal="center" vertical="center"/>
    </xf>
    <xf numFmtId="43" fontId="7" fillId="0" borderId="0" xfId="1" applyFont="1"/>
    <xf numFmtId="164" fontId="42" fillId="24" borderId="34" xfId="129" applyFont="1" applyFill="1" applyBorder="1" applyAlignment="1">
      <alignment horizontal="center" vertical="center"/>
    </xf>
    <xf numFmtId="0" fontId="86" fillId="0" borderId="0" xfId="4" applyFont="1" applyAlignment="1">
      <alignment vertical="center"/>
    </xf>
    <xf numFmtId="1" fontId="11" fillId="35" borderId="30" xfId="4" applyNumberFormat="1" applyFont="1" applyFill="1" applyBorder="1" applyAlignment="1">
      <alignment horizontal="center" vertical="center"/>
    </xf>
    <xf numFmtId="0" fontId="6" fillId="35" borderId="104" xfId="5" applyFont="1" applyFill="1" applyBorder="1" applyAlignment="1">
      <alignment horizontal="center" vertical="center" wrapText="1"/>
    </xf>
    <xf numFmtId="0" fontId="72" fillId="38" borderId="3" xfId="79" applyFont="1" applyFill="1" applyBorder="1" applyAlignment="1">
      <alignment horizontal="left" vertical="center" wrapText="1"/>
    </xf>
    <xf numFmtId="0" fontId="6" fillId="38" borderId="3" xfId="79" applyFont="1" applyFill="1" applyBorder="1" applyAlignment="1">
      <alignment horizontal="left" vertical="center" wrapText="1"/>
    </xf>
    <xf numFmtId="0" fontId="6" fillId="38" borderId="3" xfId="79" applyFont="1" applyFill="1" applyBorder="1" applyAlignment="1">
      <alignment horizontal="center" vertical="center" wrapText="1"/>
    </xf>
    <xf numFmtId="43" fontId="6" fillId="38" borderId="3" xfId="1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center" vertical="center" wrapText="1"/>
    </xf>
    <xf numFmtId="0" fontId="72" fillId="0" borderId="11" xfId="79" applyFont="1" applyBorder="1" applyAlignment="1">
      <alignment horizontal="left" vertical="center" wrapText="1"/>
    </xf>
    <xf numFmtId="0" fontId="72" fillId="0" borderId="11" xfId="5" applyFont="1" applyBorder="1" applyAlignment="1">
      <alignment horizontal="left" vertical="center" wrapText="1"/>
    </xf>
    <xf numFmtId="0" fontId="72" fillId="0" borderId="11" xfId="79" applyFont="1" applyBorder="1" applyAlignment="1">
      <alignment horizontal="center" vertical="center" wrapText="1"/>
    </xf>
    <xf numFmtId="43" fontId="72" fillId="0" borderId="11" xfId="1" applyFont="1" applyBorder="1" applyAlignment="1">
      <alignment horizontal="center" vertical="center" wrapText="1"/>
    </xf>
    <xf numFmtId="0" fontId="72" fillId="40" borderId="3" xfId="79" applyFont="1" applyFill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43" fontId="8" fillId="4" borderId="3" xfId="1" applyFont="1" applyFill="1" applyBorder="1" applyAlignment="1">
      <alignment horizontal="center" vertical="center" wrapText="1"/>
    </xf>
    <xf numFmtId="0" fontId="6" fillId="40" borderId="3" xfId="79" applyFont="1" applyFill="1" applyBorder="1" applyAlignment="1">
      <alignment horizontal="left" vertical="center" wrapText="1"/>
    </xf>
    <xf numFmtId="0" fontId="6" fillId="40" borderId="3" xfId="79" applyFont="1" applyFill="1" applyBorder="1" applyAlignment="1">
      <alignment horizontal="center" vertical="center" wrapText="1"/>
    </xf>
    <xf numFmtId="43" fontId="6" fillId="40" borderId="3" xfId="1" applyFont="1" applyFill="1" applyBorder="1" applyAlignment="1">
      <alignment horizontal="center" vertical="center" wrapText="1"/>
    </xf>
    <xf numFmtId="0" fontId="72" fillId="0" borderId="3" xfId="76" applyFont="1" applyBorder="1" applyAlignment="1">
      <alignment vertical="center" wrapText="1"/>
    </xf>
    <xf numFmtId="4" fontId="7" fillId="0" borderId="0" xfId="79" applyNumberFormat="1"/>
    <xf numFmtId="176" fontId="60" fillId="14" borderId="105" xfId="1" applyNumberFormat="1" applyFont="1" applyFill="1" applyBorder="1" applyAlignment="1">
      <alignment horizontal="center" vertical="center"/>
    </xf>
    <xf numFmtId="176" fontId="95" fillId="41" borderId="106" xfId="1" applyNumberFormat="1" applyFont="1" applyFill="1" applyBorder="1" applyAlignment="1">
      <alignment horizontal="right" vertical="center"/>
    </xf>
    <xf numFmtId="176" fontId="94" fillId="0" borderId="106" xfId="1" applyNumberFormat="1" applyFont="1" applyFill="1" applyBorder="1" applyAlignment="1">
      <alignment horizontal="right" vertical="center"/>
    </xf>
    <xf numFmtId="176" fontId="92" fillId="0" borderId="106" xfId="1" applyNumberFormat="1" applyFont="1" applyFill="1" applyBorder="1" applyAlignment="1">
      <alignment horizontal="right" vertical="center"/>
    </xf>
    <xf numFmtId="176" fontId="94" fillId="41" borderId="106" xfId="1" applyNumberFormat="1" applyFont="1" applyFill="1" applyBorder="1" applyAlignment="1">
      <alignment horizontal="right" vertical="center"/>
    </xf>
    <xf numFmtId="176" fontId="92" fillId="42" borderId="106" xfId="1" applyNumberFormat="1" applyFont="1" applyFill="1" applyBorder="1" applyAlignment="1">
      <alignment horizontal="right" vertical="center"/>
    </xf>
    <xf numFmtId="176" fontId="92" fillId="0" borderId="106" xfId="1" applyNumberFormat="1" applyFont="1" applyBorder="1" applyAlignment="1">
      <alignment horizontal="right" vertical="center"/>
    </xf>
    <xf numFmtId="176" fontId="94" fillId="14" borderId="106" xfId="1" applyNumberFormat="1" applyFont="1" applyFill="1" applyBorder="1" applyAlignment="1">
      <alignment horizontal="right" vertical="center"/>
    </xf>
    <xf numFmtId="176" fontId="94" fillId="0" borderId="106" xfId="1" applyNumberFormat="1" applyFont="1" applyBorder="1" applyAlignment="1">
      <alignment horizontal="right" vertical="center"/>
    </xf>
    <xf numFmtId="176" fontId="94" fillId="42" borderId="106" xfId="1" applyNumberFormat="1" applyFont="1" applyFill="1" applyBorder="1" applyAlignment="1">
      <alignment horizontal="right" vertical="center"/>
    </xf>
    <xf numFmtId="176" fontId="96" fillId="41" borderId="106" xfId="1" applyNumberFormat="1" applyFont="1" applyFill="1" applyBorder="1" applyAlignment="1">
      <alignment horizontal="right" vertical="center"/>
    </xf>
    <xf numFmtId="176" fontId="96" fillId="0" borderId="106" xfId="1" applyNumberFormat="1" applyFont="1" applyFill="1" applyBorder="1" applyAlignment="1">
      <alignment horizontal="right" vertical="center"/>
    </xf>
    <xf numFmtId="176" fontId="94" fillId="0" borderId="107" xfId="1" applyNumberFormat="1" applyFont="1" applyFill="1" applyBorder="1" applyAlignment="1">
      <alignment horizontal="right" vertical="center"/>
    </xf>
    <xf numFmtId="176" fontId="7" fillId="0" borderId="106" xfId="1" applyNumberFormat="1" applyFont="1" applyBorder="1" applyAlignment="1">
      <alignment vertical="center"/>
    </xf>
    <xf numFmtId="176" fontId="100" fillId="0" borderId="106" xfId="1" applyNumberFormat="1" applyFont="1" applyBorder="1" applyAlignment="1">
      <alignment vertical="center"/>
    </xf>
    <xf numFmtId="1" fontId="72" fillId="0" borderId="3" xfId="79" applyNumberFormat="1" applyFont="1" applyBorder="1" applyAlignment="1">
      <alignment horizontal="left" vertical="center" wrapText="1"/>
    </xf>
    <xf numFmtId="1" fontId="8" fillId="38" borderId="3" xfId="79" applyNumberFormat="1" applyFont="1" applyFill="1" applyBorder="1" applyAlignment="1">
      <alignment horizontal="left" vertical="center" wrapText="1"/>
    </xf>
    <xf numFmtId="1" fontId="72" fillId="0" borderId="3" xfId="79" quotePrefix="1" applyNumberFormat="1" applyFont="1" applyBorder="1" applyAlignment="1">
      <alignment horizontal="left" vertical="center" wrapText="1"/>
    </xf>
    <xf numFmtId="1" fontId="72" fillId="4" borderId="3" xfId="79" applyNumberFormat="1" applyFont="1" applyFill="1" applyBorder="1" applyAlignment="1">
      <alignment horizontal="left" vertical="center" wrapText="1"/>
    </xf>
    <xf numFmtId="1" fontId="72" fillId="0" borderId="92" xfId="79" applyNumberFormat="1" applyFont="1" applyBorder="1" applyAlignment="1">
      <alignment horizontal="left" vertical="center" wrapText="1"/>
    </xf>
    <xf numFmtId="1" fontId="72" fillId="4" borderId="3" xfId="79" quotePrefix="1" applyNumberFormat="1" applyFont="1" applyFill="1" applyBorder="1" applyAlignment="1">
      <alignment horizontal="left" vertical="center" wrapText="1"/>
    </xf>
    <xf numFmtId="10" fontId="10" fillId="0" borderId="0" xfId="3" applyNumberFormat="1" applyFont="1" applyFill="1" applyBorder="1" applyAlignment="1" applyProtection="1">
      <alignment horizontal="left" vertical="center"/>
    </xf>
    <xf numFmtId="0" fontId="72" fillId="0" borderId="3" xfId="79" quotePrefix="1" applyFont="1" applyBorder="1" applyAlignment="1">
      <alignment horizontal="left" vertical="center" wrapText="1"/>
    </xf>
    <xf numFmtId="164" fontId="0" fillId="0" borderId="0" xfId="0" applyNumberFormat="1"/>
    <xf numFmtId="43" fontId="0" fillId="0" borderId="0" xfId="0" applyNumberFormat="1"/>
    <xf numFmtId="43" fontId="12" fillId="0" borderId="92" xfId="1" applyFont="1" applyBorder="1" applyAlignment="1">
      <alignment horizontal="left" vertical="center" wrapText="1"/>
    </xf>
    <xf numFmtId="43" fontId="8" fillId="0" borderId="0" xfId="4" applyNumberFormat="1" applyFont="1" applyAlignment="1">
      <alignment vertical="center"/>
    </xf>
    <xf numFmtId="43" fontId="61" fillId="0" borderId="0" xfId="1" applyFont="1"/>
    <xf numFmtId="176" fontId="93" fillId="0" borderId="106" xfId="1" applyNumberFormat="1" applyFont="1" applyFill="1" applyBorder="1" applyAlignment="1">
      <alignment horizontal="right" vertical="center"/>
    </xf>
    <xf numFmtId="176" fontId="62" fillId="0" borderId="106" xfId="1" applyNumberFormat="1" applyFont="1" applyBorder="1" applyAlignment="1">
      <alignment vertical="center"/>
    </xf>
    <xf numFmtId="176" fontId="101" fillId="0" borderId="106" xfId="1" applyNumberFormat="1" applyFont="1" applyBorder="1" applyAlignment="1">
      <alignment vertical="center"/>
    </xf>
    <xf numFmtId="176" fontId="102" fillId="0" borderId="106" xfId="1" applyNumberFormat="1" applyFont="1" applyBorder="1" applyAlignment="1">
      <alignment horizontal="right" vertical="center"/>
    </xf>
    <xf numFmtId="176" fontId="62" fillId="0" borderId="0" xfId="1" applyNumberFormat="1" applyFont="1"/>
    <xf numFmtId="2" fontId="0" fillId="0" borderId="0" xfId="0" applyNumberFormat="1"/>
    <xf numFmtId="166" fontId="10" fillId="0" borderId="1" xfId="2" quotePrefix="1" applyNumberFormat="1" applyFont="1" applyFill="1" applyBorder="1" applyAlignment="1" applyProtection="1">
      <alignment horizontal="center" vertical="center"/>
    </xf>
    <xf numFmtId="166" fontId="10" fillId="0" borderId="2" xfId="2" quotePrefix="1" applyNumberFormat="1" applyFont="1" applyFill="1" applyBorder="1" applyAlignment="1" applyProtection="1">
      <alignment horizontal="center" vertical="center"/>
    </xf>
    <xf numFmtId="166" fontId="10" fillId="0" borderId="17" xfId="2" quotePrefix="1" applyNumberFormat="1" applyFont="1" applyFill="1" applyBorder="1" applyAlignment="1" applyProtection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166" fontId="74" fillId="0" borderId="4" xfId="2" quotePrefix="1" applyNumberFormat="1" applyFont="1" applyFill="1" applyBorder="1" applyAlignment="1" applyProtection="1">
      <alignment horizontal="center" vertical="center" wrapText="1"/>
    </xf>
    <xf numFmtId="166" fontId="74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25" xfId="1" quotePrefix="1" applyNumberFormat="1" applyFont="1" applyFill="1" applyBorder="1" applyAlignment="1" applyProtection="1">
      <alignment horizontal="center" vertical="center" wrapText="1"/>
    </xf>
    <xf numFmtId="175" fontId="10" fillId="0" borderId="90" xfId="1" quotePrefix="1" applyNumberFormat="1" applyFont="1" applyFill="1" applyBorder="1" applyAlignment="1" applyProtection="1">
      <alignment horizontal="center" vertical="center" wrapText="1"/>
    </xf>
    <xf numFmtId="175" fontId="10" fillId="0" borderId="91" xfId="1" quotePrefix="1" applyNumberFormat="1" applyFont="1" applyFill="1" applyBorder="1" applyAlignment="1" applyProtection="1">
      <alignment horizontal="center" vertical="center" wrapText="1"/>
    </xf>
    <xf numFmtId="175" fontId="10" fillId="0" borderId="34" xfId="1" quotePrefix="1" applyNumberFormat="1" applyFont="1" applyFill="1" applyBorder="1" applyAlignment="1" applyProtection="1">
      <alignment horizontal="center" vertical="center" wrapText="1"/>
    </xf>
    <xf numFmtId="0" fontId="43" fillId="3" borderId="23" xfId="4" applyFont="1" applyFill="1" applyBorder="1" applyAlignment="1">
      <alignment horizontal="center" vertical="center"/>
    </xf>
    <xf numFmtId="0" fontId="43" fillId="3" borderId="24" xfId="4" applyFont="1" applyFill="1" applyBorder="1" applyAlignment="1">
      <alignment horizontal="center" vertical="center"/>
    </xf>
    <xf numFmtId="0" fontId="43" fillId="3" borderId="48" xfId="4" applyFont="1" applyFill="1" applyBorder="1" applyAlignment="1">
      <alignment horizontal="center" vertical="center"/>
    </xf>
    <xf numFmtId="0" fontId="43" fillId="3" borderId="49" xfId="4" applyFont="1" applyFill="1" applyBorder="1" applyAlignment="1">
      <alignment horizontal="center" vertical="center"/>
    </xf>
    <xf numFmtId="0" fontId="43" fillId="3" borderId="27" xfId="4" applyFont="1" applyFill="1" applyBorder="1" applyAlignment="1">
      <alignment horizontal="center" vertical="center"/>
    </xf>
    <xf numFmtId="0" fontId="43" fillId="3" borderId="50" xfId="4" applyFont="1" applyFill="1" applyBorder="1" applyAlignment="1">
      <alignment horizontal="center" vertical="center"/>
    </xf>
    <xf numFmtId="164" fontId="42" fillId="23" borderId="27" xfId="115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right" vertical="center"/>
    </xf>
    <xf numFmtId="0" fontId="45" fillId="23" borderId="0" xfId="4" applyFont="1" applyFill="1" applyAlignment="1">
      <alignment horizontal="right" vertical="center"/>
    </xf>
    <xf numFmtId="0" fontId="45" fillId="23" borderId="14" xfId="4" applyFont="1" applyFill="1" applyBorder="1" applyAlignment="1">
      <alignment horizontal="right" vertical="center"/>
    </xf>
    <xf numFmtId="0" fontId="45" fillId="23" borderId="13" xfId="4" applyFont="1" applyFill="1" applyBorder="1" applyAlignment="1">
      <alignment horizontal="center" vertical="center"/>
    </xf>
    <xf numFmtId="0" fontId="45" fillId="23" borderId="0" xfId="4" applyFont="1" applyFill="1" applyAlignment="1">
      <alignment horizontal="center" vertical="center"/>
    </xf>
    <xf numFmtId="0" fontId="45" fillId="23" borderId="14" xfId="4" applyFont="1" applyFill="1" applyBorder="1" applyAlignment="1">
      <alignment horizontal="center" vertical="center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0" fontId="5" fillId="0" borderId="30" xfId="79" applyFont="1" applyBorder="1" applyAlignment="1">
      <alignment horizontal="center" vertical="center" wrapText="1"/>
    </xf>
    <xf numFmtId="0" fontId="5" fillId="0" borderId="31" xfId="79" applyFont="1" applyBorder="1" applyAlignment="1">
      <alignment horizontal="center" vertical="center" wrapText="1"/>
    </xf>
    <xf numFmtId="3" fontId="11" fillId="0" borderId="21" xfId="79" applyNumberFormat="1" applyFont="1" applyBorder="1" applyAlignment="1">
      <alignment horizontal="center" vertical="center"/>
    </xf>
    <xf numFmtId="3" fontId="11" fillId="0" borderId="57" xfId="79" applyNumberFormat="1" applyFont="1" applyBorder="1" applyAlignment="1">
      <alignment horizontal="center" vertical="center"/>
    </xf>
    <xf numFmtId="174" fontId="78" fillId="0" borderId="23" xfId="117" applyFont="1" applyBorder="1" applyAlignment="1">
      <alignment horizontal="center" vertical="center" wrapText="1"/>
    </xf>
    <xf numFmtId="174" fontId="78" fillId="0" borderId="24" xfId="117" applyFont="1" applyBorder="1" applyAlignment="1">
      <alignment horizontal="center" vertical="center" wrapText="1"/>
    </xf>
    <xf numFmtId="174" fontId="78" fillId="0" borderId="96" xfId="117" applyFont="1" applyBorder="1" applyAlignment="1">
      <alignment horizontal="center" vertical="center" wrapText="1"/>
    </xf>
    <xf numFmtId="174" fontId="78" fillId="0" borderId="97" xfId="117" applyFont="1" applyBorder="1" applyAlignment="1">
      <alignment horizontal="center" vertical="center" wrapText="1"/>
    </xf>
    <xf numFmtId="174" fontId="78" fillId="0" borderId="0" xfId="117" applyFont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34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1" xfId="1" applyFont="1" applyFill="1" applyBorder="1" applyAlignment="1" applyProtection="1">
      <alignment vertical="center"/>
    </xf>
    <xf numFmtId="43" fontId="11" fillId="2" borderId="34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99" xfId="1" applyFont="1" applyFill="1" applyBorder="1" applyAlignment="1" applyProtection="1">
      <alignment horizontal="left"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43" fontId="78" fillId="0" borderId="23" xfId="1" applyFont="1" applyFill="1" applyBorder="1" applyAlignment="1">
      <alignment horizontal="center" vertical="center" wrapText="1"/>
    </xf>
    <xf numFmtId="43" fontId="78" fillId="0" borderId="24" xfId="1" applyFont="1" applyFill="1" applyBorder="1" applyAlignment="1">
      <alignment horizontal="center" vertical="center" wrapText="1"/>
    </xf>
    <xf numFmtId="43" fontId="78" fillId="0" borderId="96" xfId="1" applyFont="1" applyFill="1" applyBorder="1" applyAlignment="1">
      <alignment horizontal="center" vertical="center" wrapText="1"/>
    </xf>
    <xf numFmtId="43" fontId="78" fillId="0" borderId="97" xfId="1" applyFont="1" applyFill="1" applyBorder="1" applyAlignment="1">
      <alignment horizontal="center" vertical="center" wrapText="1"/>
    </xf>
    <xf numFmtId="43" fontId="78" fillId="0" borderId="0" xfId="1" applyFont="1" applyFill="1" applyBorder="1" applyAlignment="1">
      <alignment horizontal="center" vertical="center" wrapText="1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0" fontId="40" fillId="3" borderId="30" xfId="4" applyFont="1" applyFill="1" applyBorder="1" applyAlignment="1">
      <alignment horizontal="center" vertical="center"/>
    </xf>
    <xf numFmtId="0" fontId="40" fillId="3" borderId="31" xfId="4" applyFont="1" applyFill="1" applyBorder="1" applyAlignment="1">
      <alignment horizontal="center" vertical="center"/>
    </xf>
    <xf numFmtId="0" fontId="40" fillId="3" borderId="32" xfId="4" applyFont="1" applyFill="1" applyBorder="1" applyAlignment="1">
      <alignment horizontal="center" vertical="center"/>
    </xf>
    <xf numFmtId="0" fontId="91" fillId="14" borderId="105" xfId="132" applyFont="1" applyFill="1" applyBorder="1" applyAlignment="1">
      <alignment horizontal="left" vertical="center"/>
    </xf>
    <xf numFmtId="0" fontId="64" fillId="0" borderId="0" xfId="79" applyFont="1" applyAlignment="1">
      <alignment horizontal="center" vertical="center" wrapText="1"/>
    </xf>
    <xf numFmtId="43" fontId="6" fillId="35" borderId="3" xfId="1" applyFont="1" applyFill="1" applyBorder="1" applyAlignment="1" applyProtection="1">
      <alignment horizontal="center" vertical="center" wrapText="1"/>
    </xf>
    <xf numFmtId="0" fontId="60" fillId="35" borderId="3" xfId="0" applyFont="1" applyFill="1" applyBorder="1" applyAlignment="1">
      <alignment horizontal="center"/>
    </xf>
    <xf numFmtId="0" fontId="65" fillId="36" borderId="89" xfId="79" applyFont="1" applyFill="1" applyBorder="1" applyAlignment="1">
      <alignment horizontal="center" vertical="center"/>
    </xf>
    <xf numFmtId="0" fontId="65" fillId="36" borderId="72" xfId="79" applyFont="1" applyFill="1" applyBorder="1" applyAlignment="1">
      <alignment horizontal="center" vertical="center"/>
    </xf>
    <xf numFmtId="49" fontId="65" fillId="36" borderId="86" xfId="79" applyNumberFormat="1" applyFont="1" applyFill="1" applyBorder="1" applyAlignment="1">
      <alignment horizontal="center" vertical="center" wrapText="1"/>
    </xf>
    <xf numFmtId="49" fontId="65" fillId="36" borderId="87" xfId="79" applyNumberFormat="1" applyFont="1" applyFill="1" applyBorder="1" applyAlignment="1">
      <alignment horizontal="center" vertical="center" wrapText="1"/>
    </xf>
    <xf numFmtId="49" fontId="65" fillId="36" borderId="88" xfId="79" applyNumberFormat="1" applyFont="1" applyFill="1" applyBorder="1" applyAlignment="1">
      <alignment horizontal="center" vertical="center" wrapText="1"/>
    </xf>
    <xf numFmtId="49" fontId="65" fillId="36" borderId="64" xfId="79" applyNumberFormat="1" applyFont="1" applyFill="1" applyBorder="1" applyAlignment="1">
      <alignment horizontal="center" vertical="center" wrapText="1"/>
    </xf>
    <xf numFmtId="49" fontId="65" fillId="36" borderId="67" xfId="79" applyNumberFormat="1" applyFont="1" applyFill="1" applyBorder="1" applyAlignment="1">
      <alignment horizontal="center" vertical="center" wrapText="1"/>
    </xf>
    <xf numFmtId="49" fontId="65" fillId="36" borderId="71" xfId="79" applyNumberFormat="1" applyFont="1" applyFill="1" applyBorder="1" applyAlignment="1">
      <alignment horizontal="center" vertical="center" wrapText="1"/>
    </xf>
  </cellXfs>
  <cellStyles count="13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legamento ipertestuale 2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Comma [0]_all7_pdc" xfId="34"/>
    <cellStyle name="Comma 2" xfId="35"/>
    <cellStyle name="Comma 2 2" xfId="36"/>
    <cellStyle name="Comma_all7_pdc" xfId="37"/>
    <cellStyle name="Currency [0]_all7_pdc" xfId="38"/>
    <cellStyle name="Currency_all7_pdc" xfId="39"/>
    <cellStyle name="Euro" xfId="40"/>
    <cellStyle name="Euro 2" xfId="41"/>
    <cellStyle name="Euro 3" xfId="42"/>
    <cellStyle name="Euro 4" xfId="43"/>
    <cellStyle name="Euro 5" xfId="44"/>
    <cellStyle name="Euro 6" xfId="45"/>
    <cellStyle name="Euro 7" xfId="46"/>
    <cellStyle name="Euro 8" xfId="47"/>
    <cellStyle name="Euro_allegato tabelle I report 2012" xfId="48"/>
    <cellStyle name="Input 2" xfId="49"/>
    <cellStyle name="Migliaia" xfId="1" builtinId="3"/>
    <cellStyle name="Migliaia (0)_% Attrezzature ed Edilizia" xfId="50"/>
    <cellStyle name="Migliaia [0]" xfId="2" builtinId="6"/>
    <cellStyle name="Migliaia [0] 2" xfId="51"/>
    <cellStyle name="Migliaia [0] 2 2" xfId="52"/>
    <cellStyle name="Migliaia [0] 3" xfId="53"/>
    <cellStyle name="Migliaia [0] 3 2" xfId="54"/>
    <cellStyle name="Migliaia [0] 4" xfId="55"/>
    <cellStyle name="Migliaia [0] 5" xfId="56"/>
    <cellStyle name="Migliaia [0] 6" xfId="57"/>
    <cellStyle name="Migliaia [0] 7" xfId="126"/>
    <cellStyle name="Migliaia [0] 8 2" xfId="58"/>
    <cellStyle name="Migliaia 10" xfId="125"/>
    <cellStyle name="Migliaia 11" xfId="59"/>
    <cellStyle name="Migliaia 2" xfId="60"/>
    <cellStyle name="Migliaia 2 2" xfId="61"/>
    <cellStyle name="Migliaia 2 3" xfId="62"/>
    <cellStyle name="Migliaia 2 4" xfId="63"/>
    <cellStyle name="Migliaia 2_AOTS_Organizzazione_31-12-2011" xfId="64"/>
    <cellStyle name="Migliaia 3" xfId="65"/>
    <cellStyle name="Migliaia 3 2" xfId="66"/>
    <cellStyle name="Migliaia 3_AOTS_Organizzazione_31-12-2011" xfId="67"/>
    <cellStyle name="Migliaia 4" xfId="68"/>
    <cellStyle name="Migliaia 4 2" xfId="69"/>
    <cellStyle name="Migliaia 5" xfId="70"/>
    <cellStyle name="Migliaia 6" xfId="71"/>
    <cellStyle name="Migliaia 6 2" xfId="118"/>
    <cellStyle name="Migliaia 6 2 2" xfId="128"/>
    <cellStyle name="Migliaia 7" xfId="72"/>
    <cellStyle name="Migliaia 8" xfId="73"/>
    <cellStyle name="Migliaia 9" xfId="115"/>
    <cellStyle name="Migliaia 9 2" xfId="74"/>
    <cellStyle name="Migliaia 9 3" xfId="129"/>
    <cellStyle name="Neutrale 2" xfId="75"/>
    <cellStyle name="Normal 12" xfId="116"/>
    <cellStyle name="Normal 2" xfId="76"/>
    <cellStyle name="Normal_all7_pdc" xfId="77"/>
    <cellStyle name="Normal_Sheet1 2" xfId="5"/>
    <cellStyle name="Normale" xfId="0" builtinId="0"/>
    <cellStyle name="Normale 10" xfId="120"/>
    <cellStyle name="Normale 11" xfId="122"/>
    <cellStyle name="Normale 12" xfId="124"/>
    <cellStyle name="Normale 19 2" xfId="123"/>
    <cellStyle name="Normale 2" xfId="78"/>
    <cellStyle name="Normale 2 2" xfId="79"/>
    <cellStyle name="Normale 2_1 BILANCIO AOU" xfId="80"/>
    <cellStyle name="Normale 20" xfId="121"/>
    <cellStyle name="Normale 3" xfId="81"/>
    <cellStyle name="Normale 3 2" xfId="82"/>
    <cellStyle name="Normale 3 3" xfId="83"/>
    <cellStyle name="Normale 4" xfId="84"/>
    <cellStyle name="Normale 5" xfId="85"/>
    <cellStyle name="Normale 6" xfId="86"/>
    <cellStyle name="Normale 6 2" xfId="87"/>
    <cellStyle name="Normale 7" xfId="88"/>
    <cellStyle name="Normale 7 2" xfId="89"/>
    <cellStyle name="Normale 7 3" xfId="119"/>
    <cellStyle name="Normale 7 3 2" xfId="131"/>
    <cellStyle name="Normale 7_Allegati 1-2def" xfId="90"/>
    <cellStyle name="Normale 8" xfId="91"/>
    <cellStyle name="Normale 9" xfId="92"/>
    <cellStyle name="Normale_FLUSSI FINANZIARI" xfId="132"/>
    <cellStyle name="Normale_Mattone CE_Budget 2008 (v. 0.5 del 12.02.2008) 2" xfId="4"/>
    <cellStyle name="Normale_Mattone CE_Budget 2008 (v. 0.5 del 12.02.2008) 2 2" xfId="130"/>
    <cellStyle name="Normale_modelloDCF2004bottoni" xfId="133"/>
    <cellStyle name="Nota 2" xfId="93"/>
    <cellStyle name="Output 2" xfId="94"/>
    <cellStyle name="Percent 2" xfId="95"/>
    <cellStyle name="Percent 3" xfId="96"/>
    <cellStyle name="Percentuale" xfId="3" builtinId="5"/>
    <cellStyle name="Percentuale 2" xfId="97"/>
    <cellStyle name="Percentuale 2 2" xfId="98"/>
    <cellStyle name="Percentuale 2 3" xfId="99"/>
    <cellStyle name="Percentuale 3" xfId="127"/>
    <cellStyle name="Percentuale 4" xfId="100"/>
    <cellStyle name="SAS FM Row drillable header" xfId="101"/>
    <cellStyle name="SAS FM Row header" xfId="102"/>
    <cellStyle name="Testo avviso 2" xfId="103"/>
    <cellStyle name="Testo descrittivo 2" xfId="104"/>
    <cellStyle name="Titolo 1 2" xfId="105"/>
    <cellStyle name="Titolo 2 2" xfId="106"/>
    <cellStyle name="Titolo 3 2" xfId="107"/>
    <cellStyle name="Titolo 4 2" xfId="108"/>
    <cellStyle name="Titolo 5" xfId="109"/>
    <cellStyle name="Titolo 6" xfId="117"/>
    <cellStyle name="Totale 2" xfId="110"/>
    <cellStyle name="Valore non valido 2" xfId="111"/>
    <cellStyle name="Valore valido 2" xfId="112"/>
    <cellStyle name="Valuta (0)_% Attrezzature ed Edilizia" xfId="113"/>
    <cellStyle name="Valuta 2" xfId="114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opLeftCell="A70" workbookViewId="0">
      <selection activeCell="D102" sqref="D102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10.5703125" customWidth="1"/>
    <col min="8" max="8" width="18.42578125" customWidth="1"/>
    <col min="9" max="9" width="9.28515625" style="288" customWidth="1"/>
  </cols>
  <sheetData>
    <row r="1" spans="1:9" ht="15.75">
      <c r="A1" s="1"/>
      <c r="B1" s="1"/>
      <c r="C1" s="2"/>
      <c r="D1" s="156"/>
      <c r="E1" s="156"/>
      <c r="F1" s="156"/>
      <c r="G1" s="156"/>
    </row>
    <row r="2" spans="1:9" ht="20.25">
      <c r="A2" s="212" t="s">
        <v>0</v>
      </c>
      <c r="B2" s="202"/>
      <c r="C2" s="202"/>
      <c r="D2" s="811" t="s">
        <v>1</v>
      </c>
      <c r="E2" s="812"/>
      <c r="F2" s="812"/>
      <c r="G2" s="813"/>
    </row>
    <row r="3" spans="1:9" ht="13.5" thickBot="1">
      <c r="A3" s="3"/>
      <c r="B3" s="3"/>
      <c r="C3" s="4"/>
      <c r="D3" s="157"/>
      <c r="E3" s="157"/>
      <c r="F3" s="157"/>
      <c r="G3" s="157"/>
      <c r="H3" s="158"/>
      <c r="I3" s="5"/>
    </row>
    <row r="4" spans="1:9" ht="33" customHeight="1">
      <c r="A4" s="814" t="s">
        <v>1823</v>
      </c>
      <c r="B4" s="815"/>
      <c r="C4" s="816"/>
      <c r="D4" s="819" t="s">
        <v>2661</v>
      </c>
      <c r="E4" s="821" t="s">
        <v>2659</v>
      </c>
      <c r="F4" s="817" t="s">
        <v>2660</v>
      </c>
      <c r="G4" s="818"/>
      <c r="H4" s="6"/>
      <c r="I4"/>
    </row>
    <row r="5" spans="1:9">
      <c r="A5" s="203"/>
      <c r="B5" s="204"/>
      <c r="C5" s="204"/>
      <c r="D5" s="820"/>
      <c r="E5" s="822"/>
      <c r="F5" s="205" t="s">
        <v>2</v>
      </c>
      <c r="G5" s="332" t="s">
        <v>3</v>
      </c>
      <c r="H5" s="7"/>
      <c r="I5"/>
    </row>
    <row r="6" spans="1:9">
      <c r="A6" s="8"/>
      <c r="B6" s="9"/>
      <c r="C6" s="10"/>
      <c r="D6" s="159"/>
      <c r="E6" s="159"/>
      <c r="F6" s="160"/>
      <c r="G6" s="144"/>
      <c r="H6" s="11"/>
      <c r="I6"/>
    </row>
    <row r="7" spans="1:9">
      <c r="A7" s="12" t="s">
        <v>4</v>
      </c>
      <c r="B7" s="3"/>
      <c r="C7" s="13" t="s">
        <v>5</v>
      </c>
      <c r="D7" s="161"/>
      <c r="E7" s="161"/>
      <c r="F7" s="162"/>
      <c r="G7" s="145"/>
      <c r="H7" s="5"/>
      <c r="I7"/>
    </row>
    <row r="8" spans="1:9">
      <c r="A8" s="12"/>
      <c r="B8" s="3"/>
      <c r="C8" s="14"/>
      <c r="D8" s="163"/>
      <c r="E8" s="163"/>
      <c r="F8" s="162"/>
      <c r="G8" s="145"/>
      <c r="H8" s="5"/>
      <c r="I8"/>
    </row>
    <row r="9" spans="1:9">
      <c r="A9" s="12">
        <v>1</v>
      </c>
      <c r="B9" s="13" t="s">
        <v>6</v>
      </c>
      <c r="C9" s="13"/>
      <c r="D9" s="164">
        <f t="shared" ref="D9:E9" si="0">D10+D11+D18+D23</f>
        <v>86090312</v>
      </c>
      <c r="E9" s="164">
        <f t="shared" si="0"/>
        <v>63586077</v>
      </c>
      <c r="F9" s="333">
        <f>+D9-E9</f>
        <v>22504235</v>
      </c>
      <c r="G9" s="289">
        <f>+F9/E9</f>
        <v>0.35391765087190391</v>
      </c>
      <c r="H9" s="15"/>
      <c r="I9"/>
    </row>
    <row r="10" spans="1:9">
      <c r="A10" s="16"/>
      <c r="B10" s="17" t="s">
        <v>7</v>
      </c>
      <c r="C10" s="17"/>
      <c r="D10" s="165">
        <f>+ROUND('CE Min'!D27,0)</f>
        <v>44562905</v>
      </c>
      <c r="E10" s="165">
        <f>+ROUND('CE Min'!E27,0)</f>
        <v>54520670</v>
      </c>
      <c r="F10" s="166">
        <f t="shared" ref="F10:F73" si="1">+D10-E10</f>
        <v>-9957765</v>
      </c>
      <c r="G10" s="146">
        <f t="shared" ref="G10:G73" si="2">+F10/E10</f>
        <v>-0.18264201448734949</v>
      </c>
      <c r="H10" s="18"/>
      <c r="I10"/>
    </row>
    <row r="11" spans="1:9">
      <c r="A11" s="12"/>
      <c r="B11" s="17" t="s">
        <v>8</v>
      </c>
      <c r="C11" s="17"/>
      <c r="D11" s="165">
        <f t="shared" ref="D11:E11" si="3">SUM(D12:D17)</f>
        <v>41527407</v>
      </c>
      <c r="E11" s="165">
        <f t="shared" si="3"/>
        <v>9065407</v>
      </c>
      <c r="F11" s="166">
        <f t="shared" si="1"/>
        <v>32462000</v>
      </c>
      <c r="G11" s="146">
        <f t="shared" si="2"/>
        <v>3.5808651503457041</v>
      </c>
      <c r="H11" s="18"/>
      <c r="I11"/>
    </row>
    <row r="12" spans="1:9">
      <c r="A12" s="12"/>
      <c r="B12" s="19"/>
      <c r="C12" s="49" t="s">
        <v>9</v>
      </c>
      <c r="D12" s="165">
        <f>+ROUND('CE Min'!D38,0)</f>
        <v>38785989</v>
      </c>
      <c r="E12" s="165">
        <f>+ROUND('CE Min'!E38,0)</f>
        <v>6726688</v>
      </c>
      <c r="F12" s="167">
        <f t="shared" si="1"/>
        <v>32059301</v>
      </c>
      <c r="G12" s="147">
        <f t="shared" si="2"/>
        <v>4.7659860246231132</v>
      </c>
      <c r="H12" s="20"/>
      <c r="I12"/>
    </row>
    <row r="13" spans="1:9" ht="22.5">
      <c r="A13" s="16"/>
      <c r="B13" s="19"/>
      <c r="C13" s="49" t="s">
        <v>10</v>
      </c>
      <c r="D13" s="165">
        <f>+ROUND('CE Min'!D39,0)</f>
        <v>0</v>
      </c>
      <c r="E13" s="165">
        <f>+ROUND('CE Min'!E39,0)</f>
        <v>0</v>
      </c>
      <c r="F13" s="167">
        <f t="shared" si="1"/>
        <v>0</v>
      </c>
      <c r="G13" s="147"/>
      <c r="H13" s="20"/>
      <c r="I13"/>
    </row>
    <row r="14" spans="1:9" ht="22.5">
      <c r="A14" s="12"/>
      <c r="B14" s="19"/>
      <c r="C14" s="49" t="s">
        <v>11</v>
      </c>
      <c r="D14" s="165">
        <f>+ROUND('CE Min'!D40,0)</f>
        <v>345000</v>
      </c>
      <c r="E14" s="165">
        <f>+ROUND('CE Min'!E40,0)</f>
        <v>0</v>
      </c>
      <c r="F14" s="167">
        <f t="shared" si="1"/>
        <v>345000</v>
      </c>
      <c r="G14" s="147"/>
      <c r="H14" s="20"/>
      <c r="I14"/>
    </row>
    <row r="15" spans="1:9">
      <c r="A15" s="16"/>
      <c r="B15" s="19"/>
      <c r="C15" s="49" t="s">
        <v>12</v>
      </c>
      <c r="D15" s="165">
        <f>+ROUND('CE Min'!D41,0)</f>
        <v>1430000</v>
      </c>
      <c r="E15" s="165">
        <f>+ROUND('CE Min'!E41,0)</f>
        <v>0</v>
      </c>
      <c r="F15" s="167">
        <f t="shared" si="1"/>
        <v>1430000</v>
      </c>
      <c r="G15" s="147"/>
      <c r="H15" s="20"/>
      <c r="I15"/>
    </row>
    <row r="16" spans="1:9">
      <c r="A16" s="16"/>
      <c r="B16" s="19"/>
      <c r="C16" s="49" t="s">
        <v>13</v>
      </c>
      <c r="D16" s="165">
        <f>+ROUND('CE Min'!D42,0)</f>
        <v>0</v>
      </c>
      <c r="E16" s="165">
        <f>+ROUND('CE Min'!E42,0)</f>
        <v>0</v>
      </c>
      <c r="F16" s="167">
        <f t="shared" si="1"/>
        <v>0</v>
      </c>
      <c r="G16" s="147"/>
      <c r="H16" s="20"/>
      <c r="I16"/>
    </row>
    <row r="17" spans="1:9">
      <c r="A17" s="12"/>
      <c r="B17" s="19"/>
      <c r="C17" s="49" t="s">
        <v>14</v>
      </c>
      <c r="D17" s="165">
        <f>+ROUND('CE Min'!D45,0)</f>
        <v>966418</v>
      </c>
      <c r="E17" s="165">
        <f>+ROUND('CE Min'!E45,0)</f>
        <v>2338719</v>
      </c>
      <c r="F17" s="167">
        <f t="shared" si="1"/>
        <v>-1372301</v>
      </c>
      <c r="G17" s="147">
        <f t="shared" si="2"/>
        <v>-0.58677464030522697</v>
      </c>
      <c r="H17" s="20"/>
      <c r="I17"/>
    </row>
    <row r="18" spans="1:9">
      <c r="A18" s="16"/>
      <c r="B18" s="19" t="s">
        <v>15</v>
      </c>
      <c r="C18" s="17"/>
      <c r="D18" s="165">
        <f t="shared" ref="D18:E18" si="4">SUM(D19:D22)</f>
        <v>0</v>
      </c>
      <c r="E18" s="165">
        <f t="shared" si="4"/>
        <v>0</v>
      </c>
      <c r="F18" s="166">
        <f t="shared" si="1"/>
        <v>0</v>
      </c>
      <c r="G18" s="146"/>
      <c r="H18" s="18"/>
      <c r="I18"/>
    </row>
    <row r="19" spans="1:9">
      <c r="A19" s="16"/>
      <c r="B19" s="19"/>
      <c r="C19" s="17" t="s">
        <v>16</v>
      </c>
      <c r="D19" s="165">
        <f>+ROUND('CE Min'!D52,0)</f>
        <v>0</v>
      </c>
      <c r="E19" s="165">
        <f>+ROUND('CE Min'!E52,0)</f>
        <v>0</v>
      </c>
      <c r="F19" s="167">
        <f t="shared" si="1"/>
        <v>0</v>
      </c>
      <c r="G19" s="147"/>
      <c r="H19" s="20"/>
      <c r="I19"/>
    </row>
    <row r="20" spans="1:9">
      <c r="A20" s="16"/>
      <c r="B20" s="19"/>
      <c r="C20" s="17" t="s">
        <v>17</v>
      </c>
      <c r="D20" s="165">
        <f>+ROUND('CE Min'!D53,0)</f>
        <v>0</v>
      </c>
      <c r="E20" s="165">
        <f>+ROUND('CE Min'!E53,0)</f>
        <v>0</v>
      </c>
      <c r="F20" s="167">
        <f t="shared" si="1"/>
        <v>0</v>
      </c>
      <c r="G20" s="147"/>
      <c r="H20" s="20"/>
      <c r="I20"/>
    </row>
    <row r="21" spans="1:9">
      <c r="A21" s="16"/>
      <c r="B21" s="19"/>
      <c r="C21" s="17" t="s">
        <v>18</v>
      </c>
      <c r="D21" s="165">
        <f>+ROUND('CE Min'!D54,0)</f>
        <v>0</v>
      </c>
      <c r="E21" s="165">
        <f>+ROUND('CE Min'!E54,0)</f>
        <v>0</v>
      </c>
      <c r="F21" s="167">
        <f t="shared" si="1"/>
        <v>0</v>
      </c>
      <c r="G21" s="147"/>
      <c r="H21" s="20"/>
      <c r="I21"/>
    </row>
    <row r="22" spans="1:9">
      <c r="A22" s="16"/>
      <c r="B22" s="19"/>
      <c r="C22" s="17" t="s">
        <v>19</v>
      </c>
      <c r="D22" s="165">
        <f>+ROUND('CE Min'!D55,0)</f>
        <v>0</v>
      </c>
      <c r="E22" s="165">
        <f>+ROUND('CE Min'!E55,0)</f>
        <v>0</v>
      </c>
      <c r="F22" s="167">
        <f t="shared" si="1"/>
        <v>0</v>
      </c>
      <c r="G22" s="147"/>
      <c r="H22" s="20"/>
      <c r="I22"/>
    </row>
    <row r="23" spans="1:9">
      <c r="A23" s="16"/>
      <c r="B23" s="19" t="s">
        <v>20</v>
      </c>
      <c r="C23" s="17"/>
      <c r="D23" s="165">
        <f>+ROUND('CE Min'!D56,0)</f>
        <v>0</v>
      </c>
      <c r="E23" s="165">
        <f>+ROUND('CE Min'!E56,0)</f>
        <v>0</v>
      </c>
      <c r="F23" s="167">
        <f t="shared" si="1"/>
        <v>0</v>
      </c>
      <c r="G23" s="147"/>
      <c r="H23" s="20"/>
      <c r="I23"/>
    </row>
    <row r="24" spans="1:9">
      <c r="A24" s="12">
        <v>2</v>
      </c>
      <c r="B24" s="13" t="s">
        <v>21</v>
      </c>
      <c r="C24" s="13"/>
      <c r="D24" s="168">
        <f>+ROUND('CE Min'!D57,0)</f>
        <v>0</v>
      </c>
      <c r="E24" s="168">
        <f>+ROUND('CE Min'!E57,0)</f>
        <v>0</v>
      </c>
      <c r="F24" s="169">
        <f t="shared" si="1"/>
        <v>0</v>
      </c>
      <c r="G24" s="284"/>
      <c r="H24" s="21"/>
      <c r="I24"/>
    </row>
    <row r="25" spans="1:9">
      <c r="A25" s="12">
        <v>3</v>
      </c>
      <c r="B25" s="13" t="s">
        <v>22</v>
      </c>
      <c r="C25" s="13"/>
      <c r="D25" s="168">
        <f>+ROUND('CE Min'!D60,0)</f>
        <v>14270041</v>
      </c>
      <c r="E25" s="168">
        <f>+ROUND('CE Min'!E60,0)</f>
        <v>714602</v>
      </c>
      <c r="F25" s="169">
        <f t="shared" si="1"/>
        <v>13555439</v>
      </c>
      <c r="G25" s="284">
        <f t="shared" si="2"/>
        <v>18.969215031584014</v>
      </c>
      <c r="H25" s="21"/>
      <c r="I25"/>
    </row>
    <row r="26" spans="1:9">
      <c r="A26" s="12">
        <v>4</v>
      </c>
      <c r="B26" s="13" t="s">
        <v>23</v>
      </c>
      <c r="C26" s="13"/>
      <c r="D26" s="164">
        <f t="shared" ref="D26:E26" si="5">SUM(D27:D29)</f>
        <v>230806</v>
      </c>
      <c r="E26" s="164">
        <f t="shared" si="5"/>
        <v>234093</v>
      </c>
      <c r="F26" s="169">
        <f t="shared" si="1"/>
        <v>-3287</v>
      </c>
      <c r="G26" s="284">
        <f t="shared" si="2"/>
        <v>-1.4041427979478242E-2</v>
      </c>
      <c r="H26" s="21"/>
      <c r="I26"/>
    </row>
    <row r="27" spans="1:9">
      <c r="A27" s="12"/>
      <c r="B27" s="17" t="s">
        <v>24</v>
      </c>
      <c r="C27" s="22"/>
      <c r="D27" s="165">
        <f>+ROUND('CE Min'!D67,0)</f>
        <v>7006</v>
      </c>
      <c r="E27" s="165">
        <f>+ROUND('CE Min'!E67,0)</f>
        <v>11492</v>
      </c>
      <c r="F27" s="167">
        <f t="shared" si="1"/>
        <v>-4486</v>
      </c>
      <c r="G27" s="147">
        <f t="shared" si="2"/>
        <v>-0.39035851026801255</v>
      </c>
      <c r="H27" s="20"/>
      <c r="I27"/>
    </row>
    <row r="28" spans="1:9">
      <c r="A28" s="16"/>
      <c r="B28" s="17" t="s">
        <v>25</v>
      </c>
      <c r="C28" s="22"/>
      <c r="D28" s="165">
        <f>+ROUND('CE Min'!D113,0)</f>
        <v>0</v>
      </c>
      <c r="E28" s="165">
        <f>+ROUND('CE Min'!E113,0)</f>
        <v>0</v>
      </c>
      <c r="F28" s="167">
        <f t="shared" si="1"/>
        <v>0</v>
      </c>
      <c r="G28" s="147"/>
      <c r="H28" s="20"/>
      <c r="I28"/>
    </row>
    <row r="29" spans="1:9">
      <c r="A29" s="12"/>
      <c r="B29" s="17" t="s">
        <v>26</v>
      </c>
      <c r="C29" s="22"/>
      <c r="D29" s="165">
        <f>+ROUND('CE Min'!D106+'CE Min'!D112,0)</f>
        <v>223800</v>
      </c>
      <c r="E29" s="165">
        <f>+ROUND('CE Min'!E106+'CE Min'!E112,0)</f>
        <v>222601</v>
      </c>
      <c r="F29" s="167">
        <f t="shared" si="1"/>
        <v>1199</v>
      </c>
      <c r="G29" s="147">
        <f t="shared" si="2"/>
        <v>5.3863190192317192E-3</v>
      </c>
      <c r="H29" s="20"/>
      <c r="I29"/>
    </row>
    <row r="30" spans="1:9">
      <c r="A30" s="12">
        <v>5</v>
      </c>
      <c r="B30" s="13" t="s">
        <v>27</v>
      </c>
      <c r="C30" s="13"/>
      <c r="D30" s="168">
        <f>+ROUND(+'CE Min'!D121,0)</f>
        <v>479411522</v>
      </c>
      <c r="E30" s="168">
        <f>+ROUND(+'CE Min'!E121,0)</f>
        <v>443414177</v>
      </c>
      <c r="F30" s="169">
        <f t="shared" si="1"/>
        <v>35997345</v>
      </c>
      <c r="G30" s="284">
        <f t="shared" si="2"/>
        <v>8.1182214884392381E-2</v>
      </c>
      <c r="H30" s="21"/>
      <c r="I30"/>
    </row>
    <row r="31" spans="1:9">
      <c r="A31" s="12">
        <v>6</v>
      </c>
      <c r="B31" s="13" t="s">
        <v>28</v>
      </c>
      <c r="C31" s="13"/>
      <c r="D31" s="168">
        <f>+ROUND('CE Min'!D142,0)</f>
        <v>0</v>
      </c>
      <c r="E31" s="168">
        <f>+ROUND('CE Min'!E142,0)</f>
        <v>0</v>
      </c>
      <c r="F31" s="169">
        <f t="shared" si="1"/>
        <v>0</v>
      </c>
      <c r="G31" s="284"/>
      <c r="H31" s="211"/>
      <c r="I31" s="210"/>
    </row>
    <row r="32" spans="1:9">
      <c r="A32" s="12">
        <v>7</v>
      </c>
      <c r="B32" s="13" t="s">
        <v>29</v>
      </c>
      <c r="C32" s="13"/>
      <c r="D32" s="168">
        <f>+ROUND('CE Min'!D146,0)</f>
        <v>186483</v>
      </c>
      <c r="E32" s="168">
        <f>+ROUND('CE Min'!E146,0)</f>
        <v>162903</v>
      </c>
      <c r="F32" s="169">
        <f t="shared" si="1"/>
        <v>23580</v>
      </c>
      <c r="G32" s="284">
        <f t="shared" si="2"/>
        <v>0.14474871549326901</v>
      </c>
      <c r="H32" s="21"/>
      <c r="I32"/>
    </row>
    <row r="33" spans="1:9">
      <c r="A33" s="12">
        <v>8</v>
      </c>
      <c r="B33" s="13" t="s">
        <v>30</v>
      </c>
      <c r="C33" s="13"/>
      <c r="D33" s="168">
        <f>+ROUND(+'CE Min'!D153,0)</f>
        <v>0</v>
      </c>
      <c r="E33" s="168">
        <f>+ROUND(+'CE Min'!E153,0)</f>
        <v>0</v>
      </c>
      <c r="F33" s="169">
        <f t="shared" si="1"/>
        <v>0</v>
      </c>
      <c r="G33" s="148"/>
      <c r="H33" s="21"/>
      <c r="I33"/>
    </row>
    <row r="34" spans="1:9">
      <c r="A34" s="12">
        <v>9</v>
      </c>
      <c r="B34" s="13" t="s">
        <v>31</v>
      </c>
      <c r="C34" s="13"/>
      <c r="D34" s="168">
        <f>+ROUND(+'CE Min'!D154,0)</f>
        <v>7500</v>
      </c>
      <c r="E34" s="168">
        <f>+ROUND(+'CE Min'!E154,0)</f>
        <v>9191</v>
      </c>
      <c r="F34" s="169">
        <f t="shared" si="1"/>
        <v>-1691</v>
      </c>
      <c r="G34" s="148">
        <f t="shared" si="2"/>
        <v>-0.18398433249918397</v>
      </c>
      <c r="H34" s="21"/>
      <c r="I34"/>
    </row>
    <row r="35" spans="1:9">
      <c r="A35" s="206" t="s">
        <v>32</v>
      </c>
      <c r="B35" s="207"/>
      <c r="C35" s="207"/>
      <c r="D35" s="170">
        <f t="shared" ref="D35:E35" si="6">D9+D24+D25+D26+SUM(D30:D34)</f>
        <v>580196664</v>
      </c>
      <c r="E35" s="170">
        <f t="shared" si="6"/>
        <v>508121043</v>
      </c>
      <c r="F35" s="171">
        <f t="shared" si="1"/>
        <v>72075621</v>
      </c>
      <c r="G35" s="140">
        <f t="shared" si="2"/>
        <v>0.14184734522006404</v>
      </c>
      <c r="H35" s="21"/>
      <c r="I35"/>
    </row>
    <row r="36" spans="1:9">
      <c r="A36" s="16"/>
      <c r="B36" s="23"/>
      <c r="C36" s="14"/>
      <c r="D36" s="172"/>
      <c r="E36" s="172"/>
      <c r="F36" s="167"/>
      <c r="G36" s="147"/>
      <c r="H36" s="18"/>
      <c r="I36"/>
    </row>
    <row r="37" spans="1:9">
      <c r="A37" s="12" t="s">
        <v>33</v>
      </c>
      <c r="B37" s="3"/>
      <c r="C37" s="24" t="s">
        <v>34</v>
      </c>
      <c r="D37" s="173"/>
      <c r="E37" s="173"/>
      <c r="F37" s="169"/>
      <c r="G37" s="148"/>
      <c r="H37" s="18"/>
      <c r="I37"/>
    </row>
    <row r="38" spans="1:9">
      <c r="A38" s="12">
        <v>1</v>
      </c>
      <c r="B38" s="13" t="s">
        <v>35</v>
      </c>
      <c r="C38" s="25"/>
      <c r="D38" s="173">
        <f t="shared" ref="D38:E38" si="7">SUM(D39:D40)</f>
        <v>465303184</v>
      </c>
      <c r="E38" s="173">
        <f t="shared" si="7"/>
        <v>443367062</v>
      </c>
      <c r="F38" s="169">
        <f t="shared" si="1"/>
        <v>21936122</v>
      </c>
      <c r="G38" s="148">
        <f t="shared" si="2"/>
        <v>4.9476210300890597E-2</v>
      </c>
      <c r="H38" s="21"/>
      <c r="I38"/>
    </row>
    <row r="39" spans="1:9">
      <c r="A39" s="12"/>
      <c r="B39" s="17" t="s">
        <v>36</v>
      </c>
      <c r="C39" s="22"/>
      <c r="D39" s="165">
        <f>+ROUND('CE Min'!D161,0)</f>
        <v>458886193</v>
      </c>
      <c r="E39" s="165">
        <f>+ROUND('CE Min'!E161,0)</f>
        <v>435995385</v>
      </c>
      <c r="F39" s="167">
        <f t="shared" si="1"/>
        <v>22890808</v>
      </c>
      <c r="G39" s="147">
        <f t="shared" si="2"/>
        <v>5.2502408941782722E-2</v>
      </c>
      <c r="H39" s="20"/>
      <c r="I39"/>
    </row>
    <row r="40" spans="1:9">
      <c r="A40" s="16"/>
      <c r="B40" s="17" t="s">
        <v>37</v>
      </c>
      <c r="C40" s="22"/>
      <c r="D40" s="165">
        <f>+ROUND('CE Min'!D191,0)</f>
        <v>6416991</v>
      </c>
      <c r="E40" s="165">
        <f>+ROUND('CE Min'!E191,0)</f>
        <v>7371677</v>
      </c>
      <c r="F40" s="167">
        <f t="shared" si="1"/>
        <v>-954686</v>
      </c>
      <c r="G40" s="147">
        <f t="shared" si="2"/>
        <v>-0.12950730206980041</v>
      </c>
      <c r="H40" s="20"/>
      <c r="I40"/>
    </row>
    <row r="41" spans="1:9">
      <c r="A41" s="12">
        <v>2</v>
      </c>
      <c r="B41" s="13" t="s">
        <v>38</v>
      </c>
      <c r="C41" s="25"/>
      <c r="D41" s="173">
        <f t="shared" ref="D41:E41" si="8">SUM(D42:D58)</f>
        <v>20812105</v>
      </c>
      <c r="E41" s="173">
        <f t="shared" si="8"/>
        <v>9415066</v>
      </c>
      <c r="F41" s="169">
        <f t="shared" si="1"/>
        <v>11397039</v>
      </c>
      <c r="G41" s="148">
        <f t="shared" si="2"/>
        <v>1.2105107919583358</v>
      </c>
      <c r="H41" s="21"/>
      <c r="I41"/>
    </row>
    <row r="42" spans="1:9">
      <c r="A42" s="16"/>
      <c r="B42" s="19" t="s">
        <v>39</v>
      </c>
      <c r="C42" s="17"/>
      <c r="D42" s="165">
        <f>+ROUND('CE Min'!D201,0)</f>
        <v>0</v>
      </c>
      <c r="E42" s="165">
        <f>+ROUND('CE Min'!E201,0)</f>
        <v>0</v>
      </c>
      <c r="F42" s="167">
        <f t="shared" si="1"/>
        <v>0</v>
      </c>
      <c r="G42" s="147"/>
      <c r="H42" s="20"/>
      <c r="I42"/>
    </row>
    <row r="43" spans="1:9">
      <c r="A43" s="16"/>
      <c r="B43" s="19" t="s">
        <v>40</v>
      </c>
      <c r="C43" s="17"/>
      <c r="D43" s="165">
        <f>+ROUND('CE Min'!D209,0)</f>
        <v>0</v>
      </c>
      <c r="E43" s="165">
        <f>+ROUND('CE Min'!E209,0)</f>
        <v>0</v>
      </c>
      <c r="F43" s="167">
        <f t="shared" si="1"/>
        <v>0</v>
      </c>
      <c r="G43" s="147"/>
      <c r="H43" s="20"/>
      <c r="I43"/>
    </row>
    <row r="44" spans="1:9">
      <c r="A44" s="16"/>
      <c r="B44" s="19" t="s">
        <v>41</v>
      </c>
      <c r="C44" s="17"/>
      <c r="D44" s="165">
        <f>+ROUND('CE Min'!D213,0)</f>
        <v>2290</v>
      </c>
      <c r="E44" s="165">
        <f>+ROUND('CE Min'!E213,0)</f>
        <v>238</v>
      </c>
      <c r="F44" s="167">
        <f t="shared" si="1"/>
        <v>2052</v>
      </c>
      <c r="G44" s="147">
        <f t="shared" si="2"/>
        <v>8.6218487394957979</v>
      </c>
      <c r="H44" s="20"/>
      <c r="I44"/>
    </row>
    <row r="45" spans="1:9">
      <c r="A45" s="16"/>
      <c r="B45" s="19" t="s">
        <v>42</v>
      </c>
      <c r="C45" s="17"/>
      <c r="D45" s="165">
        <f>+ROUND('CE Min'!D232,0)</f>
        <v>0</v>
      </c>
      <c r="E45" s="165">
        <f>+ROUND('CE Min'!E232,0)</f>
        <v>0</v>
      </c>
      <c r="F45" s="167">
        <f t="shared" si="1"/>
        <v>0</v>
      </c>
      <c r="G45" s="147"/>
      <c r="H45" s="20"/>
      <c r="I45"/>
    </row>
    <row r="46" spans="1:9">
      <c r="A46" s="16"/>
      <c r="B46" s="19" t="s">
        <v>43</v>
      </c>
      <c r="C46" s="17"/>
      <c r="D46" s="165">
        <f>+ROUND('CE Min'!D238,0)</f>
        <v>0</v>
      </c>
      <c r="E46" s="165">
        <f>+ROUND('CE Min'!E238,0)</f>
        <v>0</v>
      </c>
      <c r="F46" s="167">
        <f t="shared" si="1"/>
        <v>0</v>
      </c>
      <c r="G46" s="147"/>
      <c r="H46" s="20"/>
      <c r="I46"/>
    </row>
    <row r="47" spans="1:9">
      <c r="A47" s="16"/>
      <c r="B47" s="19" t="s">
        <v>44</v>
      </c>
      <c r="C47" s="17"/>
      <c r="D47" s="165">
        <f>+ROUND('CE Min'!D243,0)</f>
        <v>0</v>
      </c>
      <c r="E47" s="165">
        <f>+ROUND('CE Min'!E243,0)</f>
        <v>0</v>
      </c>
      <c r="F47" s="167">
        <f t="shared" si="1"/>
        <v>0</v>
      </c>
      <c r="G47" s="147"/>
      <c r="H47" s="20"/>
      <c r="I47"/>
    </row>
    <row r="48" spans="1:9">
      <c r="A48" s="16"/>
      <c r="B48" s="19" t="s">
        <v>45</v>
      </c>
      <c r="C48" s="17"/>
      <c r="D48" s="165">
        <f>+ROUND('CE Min'!D248,0)</f>
        <v>0</v>
      </c>
      <c r="E48" s="165">
        <f>+ROUND('CE Min'!E248,0)</f>
        <v>0</v>
      </c>
      <c r="F48" s="167">
        <f t="shared" si="1"/>
        <v>0</v>
      </c>
      <c r="G48" s="147"/>
      <c r="H48" s="20"/>
      <c r="I48"/>
    </row>
    <row r="49" spans="1:9">
      <c r="A49" s="16"/>
      <c r="B49" s="19" t="s">
        <v>46</v>
      </c>
      <c r="C49" s="17"/>
      <c r="D49" s="165">
        <f>+ROUND('CE Min'!D258,0)</f>
        <v>0</v>
      </c>
      <c r="E49" s="165">
        <f>+ROUND('CE Min'!E258,0)</f>
        <v>0</v>
      </c>
      <c r="F49" s="167">
        <f t="shared" si="1"/>
        <v>0</v>
      </c>
      <c r="G49" s="147"/>
      <c r="H49" s="20"/>
      <c r="I49"/>
    </row>
    <row r="50" spans="1:9">
      <c r="A50" s="16"/>
      <c r="B50" s="19" t="s">
        <v>47</v>
      </c>
      <c r="C50" s="17"/>
      <c r="D50" s="165">
        <f>+ROUND('CE Min'!D264,0)</f>
        <v>0</v>
      </c>
      <c r="E50" s="165">
        <f>+ROUND('CE Min'!E264,0)</f>
        <v>0</v>
      </c>
      <c r="F50" s="167">
        <f t="shared" si="1"/>
        <v>0</v>
      </c>
      <c r="G50" s="147"/>
      <c r="H50" s="20"/>
      <c r="I50"/>
    </row>
    <row r="51" spans="1:9">
      <c r="A51" s="16"/>
      <c r="B51" s="19" t="s">
        <v>48</v>
      </c>
      <c r="C51" s="17"/>
      <c r="D51" s="165">
        <f>+ROUND('CE Min'!D271,0)</f>
        <v>0</v>
      </c>
      <c r="E51" s="165">
        <f>+ROUND('CE Min'!E271,0)</f>
        <v>0</v>
      </c>
      <c r="F51" s="167">
        <f t="shared" si="1"/>
        <v>0</v>
      </c>
      <c r="G51" s="147"/>
      <c r="H51" s="20"/>
      <c r="I51"/>
    </row>
    <row r="52" spans="1:9">
      <c r="A52" s="16"/>
      <c r="B52" s="19" t="s">
        <v>49</v>
      </c>
      <c r="C52" s="17"/>
      <c r="D52" s="165">
        <f>+ROUND('CE Min'!D277,0)</f>
        <v>0</v>
      </c>
      <c r="E52" s="165">
        <f>+ROUND('CE Min'!E277,0)</f>
        <v>0</v>
      </c>
      <c r="F52" s="167">
        <f t="shared" si="1"/>
        <v>0</v>
      </c>
      <c r="G52" s="147"/>
      <c r="H52" s="20"/>
      <c r="I52"/>
    </row>
    <row r="53" spans="1:9">
      <c r="A53" s="16"/>
      <c r="B53" s="19" t="s">
        <v>50</v>
      </c>
      <c r="C53" s="17"/>
      <c r="D53" s="165">
        <f>+ROUND('CE Min'!D282,0)</f>
        <v>0</v>
      </c>
      <c r="E53" s="165">
        <f>+ROUND('CE Min'!E282,0)</f>
        <v>0</v>
      </c>
      <c r="F53" s="167">
        <f t="shared" si="1"/>
        <v>0</v>
      </c>
      <c r="G53" s="147"/>
      <c r="H53" s="20"/>
      <c r="I53"/>
    </row>
    <row r="54" spans="1:9">
      <c r="A54" s="16"/>
      <c r="B54" s="19" t="s">
        <v>51</v>
      </c>
      <c r="C54" s="17"/>
      <c r="D54" s="165">
        <f>+ROUND('CE Min'!D291,0)</f>
        <v>0</v>
      </c>
      <c r="E54" s="165">
        <f>+ROUND('CE Min'!E291,0)</f>
        <v>4399</v>
      </c>
      <c r="F54" s="167">
        <f t="shared" si="1"/>
        <v>-4399</v>
      </c>
      <c r="G54" s="147">
        <f t="shared" si="2"/>
        <v>-1</v>
      </c>
      <c r="H54" s="20"/>
      <c r="I54"/>
    </row>
    <row r="55" spans="1:9">
      <c r="A55" s="16"/>
      <c r="B55" s="19" t="s">
        <v>52</v>
      </c>
      <c r="C55" s="17"/>
      <c r="D55" s="165">
        <f>+ROUND('CE Min'!D299,0)</f>
        <v>15913358</v>
      </c>
      <c r="E55" s="165">
        <f>+ROUND('CE Min'!E299,0)</f>
        <v>5081023</v>
      </c>
      <c r="F55" s="167">
        <f t="shared" si="1"/>
        <v>10832335</v>
      </c>
      <c r="G55" s="147">
        <f t="shared" si="2"/>
        <v>2.1319200877461095</v>
      </c>
      <c r="H55" s="158"/>
      <c r="I55"/>
    </row>
    <row r="56" spans="1:9">
      <c r="A56" s="16"/>
      <c r="B56" s="19" t="s">
        <v>53</v>
      </c>
      <c r="C56" s="49"/>
      <c r="D56" s="165">
        <f>+ROUND('CE Min'!D307,0)</f>
        <v>2035550</v>
      </c>
      <c r="E56" s="165">
        <f>+ROUND('CE Min'!E307,0)</f>
        <v>2066765</v>
      </c>
      <c r="F56" s="167">
        <f t="shared" si="1"/>
        <v>-31215</v>
      </c>
      <c r="G56" s="147">
        <f t="shared" si="2"/>
        <v>-1.5103313632657801E-2</v>
      </c>
      <c r="H56" s="158"/>
      <c r="I56"/>
    </row>
    <row r="57" spans="1:9">
      <c r="A57" s="16"/>
      <c r="B57" s="19" t="s">
        <v>54</v>
      </c>
      <c r="C57" s="17"/>
      <c r="D57" s="165">
        <f>+ROUND('CE Min'!D321,0)</f>
        <v>2860907</v>
      </c>
      <c r="E57" s="165">
        <f>+ROUND('CE Min'!E321,0)</f>
        <v>2262641</v>
      </c>
      <c r="F57" s="167">
        <f t="shared" si="1"/>
        <v>598266</v>
      </c>
      <c r="G57" s="147">
        <f t="shared" si="2"/>
        <v>0.26441048314779059</v>
      </c>
      <c r="H57" s="20"/>
      <c r="I57"/>
    </row>
    <row r="58" spans="1:9">
      <c r="A58" s="16"/>
      <c r="B58" s="19" t="s">
        <v>55</v>
      </c>
      <c r="C58" s="17"/>
      <c r="D58" s="165">
        <f>+ROUND('CE Min'!D329,0)</f>
        <v>0</v>
      </c>
      <c r="E58" s="165">
        <f>+ROUND('CE Min'!E329,0)</f>
        <v>0</v>
      </c>
      <c r="F58" s="167">
        <f t="shared" si="1"/>
        <v>0</v>
      </c>
      <c r="G58" s="147"/>
      <c r="H58" s="20"/>
      <c r="I58"/>
    </row>
    <row r="59" spans="1:9">
      <c r="A59" s="12">
        <v>3</v>
      </c>
      <c r="B59" s="13" t="s">
        <v>56</v>
      </c>
      <c r="C59" s="25"/>
      <c r="D59" s="173">
        <f t="shared" ref="D59:E59" si="9">SUM(D60:D62)</f>
        <v>18732979</v>
      </c>
      <c r="E59" s="173">
        <f t="shared" si="9"/>
        <v>18651570</v>
      </c>
      <c r="F59" s="169">
        <f t="shared" si="1"/>
        <v>81409</v>
      </c>
      <c r="G59" s="148">
        <f t="shared" si="2"/>
        <v>4.3647264010482764E-3</v>
      </c>
      <c r="H59" s="21"/>
      <c r="I59"/>
    </row>
    <row r="60" spans="1:9">
      <c r="A60" s="16"/>
      <c r="B60" s="19" t="s">
        <v>57</v>
      </c>
      <c r="C60" s="17"/>
      <c r="D60" s="165">
        <f>+ROUND('CE Min'!D331,0)</f>
        <v>18398740</v>
      </c>
      <c r="E60" s="165">
        <f>+ROUND('CE Min'!E331,0)</f>
        <v>17875144</v>
      </c>
      <c r="F60" s="167">
        <f t="shared" si="1"/>
        <v>523596</v>
      </c>
      <c r="G60" s="147">
        <f t="shared" si="2"/>
        <v>2.9291847942595595E-2</v>
      </c>
      <c r="H60" s="20"/>
      <c r="I60"/>
    </row>
    <row r="61" spans="1:9">
      <c r="A61" s="16"/>
      <c r="B61" s="19" t="s">
        <v>58</v>
      </c>
      <c r="C61" s="49"/>
      <c r="D61" s="165">
        <f>+ROUND('CE Min'!D351,0)</f>
        <v>254334</v>
      </c>
      <c r="E61" s="165">
        <f>+ROUND('CE Min'!E351,0)</f>
        <v>722477</v>
      </c>
      <c r="F61" s="167">
        <f t="shared" si="1"/>
        <v>-468143</v>
      </c>
      <c r="G61" s="147">
        <f t="shared" si="2"/>
        <v>-0.64796941632744021</v>
      </c>
      <c r="H61" s="20"/>
      <c r="I61"/>
    </row>
    <row r="62" spans="1:9">
      <c r="A62" s="16"/>
      <c r="B62" s="19" t="s">
        <v>59</v>
      </c>
      <c r="C62" s="17"/>
      <c r="D62" s="165">
        <f>+ROUND('CE Min'!D365,0)</f>
        <v>79905</v>
      </c>
      <c r="E62" s="165">
        <f>+ROUND('CE Min'!E365,0)</f>
        <v>53949</v>
      </c>
      <c r="F62" s="167">
        <f t="shared" si="1"/>
        <v>25956</v>
      </c>
      <c r="G62" s="147">
        <f t="shared" si="2"/>
        <v>0.48112105877773453</v>
      </c>
      <c r="H62" s="20"/>
      <c r="I62"/>
    </row>
    <row r="63" spans="1:9">
      <c r="A63" s="12">
        <v>4</v>
      </c>
      <c r="B63" s="26" t="s">
        <v>60</v>
      </c>
      <c r="C63" s="25"/>
      <c r="D63" s="173">
        <f>+ROUND('CE Min'!D368,0)</f>
        <v>6603</v>
      </c>
      <c r="E63" s="173">
        <f>+ROUND('CE Min'!E368,0)</f>
        <v>1064</v>
      </c>
      <c r="F63" s="169">
        <f t="shared" si="1"/>
        <v>5539</v>
      </c>
      <c r="G63" s="148">
        <f t="shared" si="2"/>
        <v>5.2058270676691727</v>
      </c>
      <c r="H63" s="21"/>
      <c r="I63"/>
    </row>
    <row r="64" spans="1:9">
      <c r="A64" s="12">
        <v>5</v>
      </c>
      <c r="B64" s="13" t="s">
        <v>61</v>
      </c>
      <c r="C64" s="13"/>
      <c r="D64" s="173">
        <f>+ROUND('CE Min'!D376,0)</f>
        <v>2931093</v>
      </c>
      <c r="E64" s="173">
        <f>+ROUND('CE Min'!E376,0)</f>
        <v>3100079</v>
      </c>
      <c r="F64" s="169">
        <f t="shared" si="1"/>
        <v>-168986</v>
      </c>
      <c r="G64" s="148">
        <f t="shared" si="2"/>
        <v>-5.4510223771716784E-2</v>
      </c>
      <c r="H64" s="21"/>
      <c r="I64"/>
    </row>
    <row r="65" spans="1:9">
      <c r="A65" s="12">
        <v>6</v>
      </c>
      <c r="B65" s="13" t="s">
        <v>62</v>
      </c>
      <c r="C65" s="25"/>
      <c r="D65" s="173">
        <f t="shared" ref="D65:E65" si="10">SUM(D66:D70)</f>
        <v>12193030</v>
      </c>
      <c r="E65" s="173">
        <f t="shared" si="10"/>
        <v>10525335</v>
      </c>
      <c r="F65" s="169">
        <f t="shared" si="1"/>
        <v>1667695</v>
      </c>
      <c r="G65" s="148">
        <f t="shared" si="2"/>
        <v>0.15844578818631427</v>
      </c>
      <c r="H65" s="21"/>
      <c r="I65"/>
    </row>
    <row r="66" spans="1:9">
      <c r="A66" s="12"/>
      <c r="B66" s="17" t="s">
        <v>63</v>
      </c>
      <c r="C66" s="22"/>
      <c r="D66" s="165">
        <f>+ROUND('CE Min'!D389,0)</f>
        <v>697348</v>
      </c>
      <c r="E66" s="165">
        <f>+ROUND('CE Min'!E389,0)</f>
        <v>264175</v>
      </c>
      <c r="F66" s="167">
        <f t="shared" si="1"/>
        <v>433173</v>
      </c>
      <c r="G66" s="147">
        <f t="shared" si="2"/>
        <v>1.639719882653544</v>
      </c>
      <c r="H66" s="20"/>
      <c r="I66"/>
    </row>
    <row r="67" spans="1:9">
      <c r="A67" s="12"/>
      <c r="B67" s="17" t="s">
        <v>64</v>
      </c>
      <c r="C67" s="22"/>
      <c r="D67" s="165">
        <f>+ROUND('CE Min'!D393,0)</f>
        <v>856235</v>
      </c>
      <c r="E67" s="165">
        <f>+ROUND('CE Min'!E393,0)</f>
        <v>820434</v>
      </c>
      <c r="F67" s="167">
        <f t="shared" si="1"/>
        <v>35801</v>
      </c>
      <c r="G67" s="147">
        <f t="shared" si="2"/>
        <v>4.3636660596708572E-2</v>
      </c>
      <c r="H67" s="20"/>
      <c r="I67"/>
    </row>
    <row r="68" spans="1:9">
      <c r="A68" s="12"/>
      <c r="B68" s="17" t="s">
        <v>65</v>
      </c>
      <c r="C68" s="22"/>
      <c r="D68" s="165">
        <f>+ROUND('CE Min'!D397,0)</f>
        <v>2497349</v>
      </c>
      <c r="E68" s="165">
        <f>+ROUND('CE Min'!E397,0)</f>
        <v>2211876</v>
      </c>
      <c r="F68" s="167">
        <f t="shared" si="1"/>
        <v>285473</v>
      </c>
      <c r="G68" s="147">
        <f t="shared" si="2"/>
        <v>0.12906374498389603</v>
      </c>
      <c r="H68" s="20"/>
      <c r="I68"/>
    </row>
    <row r="69" spans="1:9">
      <c r="A69" s="16"/>
      <c r="B69" s="17" t="s">
        <v>66</v>
      </c>
      <c r="C69" s="22"/>
      <c r="D69" s="165">
        <f>+ROUND('CE Min'!D402+'CE Min'!D411+'CE Min'!D420,0)</f>
        <v>2777378</v>
      </c>
      <c r="E69" s="165">
        <f>+ROUND('CE Min'!E402+'CE Min'!E411+'CE Min'!E420,0)</f>
        <v>2532440</v>
      </c>
      <c r="F69" s="167">
        <f t="shared" si="1"/>
        <v>244938</v>
      </c>
      <c r="G69" s="147">
        <f t="shared" si="2"/>
        <v>9.6720159214038634E-2</v>
      </c>
      <c r="H69" s="20"/>
      <c r="I69"/>
    </row>
    <row r="70" spans="1:9">
      <c r="A70" s="16"/>
      <c r="B70" s="17" t="s">
        <v>67</v>
      </c>
      <c r="C70" s="22"/>
      <c r="D70" s="165">
        <f>+ROUND('CE Min'!D406+'CE Min'!D415+'CE Min'!D424,0)</f>
        <v>5364720</v>
      </c>
      <c r="E70" s="165">
        <f>+ROUND('CE Min'!E406+'CE Min'!E415+'CE Min'!E424,0)</f>
        <v>4696410</v>
      </c>
      <c r="F70" s="167">
        <f t="shared" si="1"/>
        <v>668310</v>
      </c>
      <c r="G70" s="147">
        <f t="shared" si="2"/>
        <v>0.14230231176579558</v>
      </c>
      <c r="H70" s="20"/>
      <c r="I70"/>
    </row>
    <row r="71" spans="1:9">
      <c r="A71" s="12">
        <v>7</v>
      </c>
      <c r="B71" s="26" t="s">
        <v>68</v>
      </c>
      <c r="C71" s="13"/>
      <c r="D71" s="173">
        <f>+ROUND('CE Min'!D428,0)</f>
        <v>846055</v>
      </c>
      <c r="E71" s="173">
        <f>+ROUND('CE Min'!E428,0)</f>
        <v>942069</v>
      </c>
      <c r="F71" s="169">
        <f t="shared" si="1"/>
        <v>-96014</v>
      </c>
      <c r="G71" s="148">
        <f t="shared" si="2"/>
        <v>-0.10191822467356425</v>
      </c>
      <c r="H71" s="21"/>
      <c r="I71"/>
    </row>
    <row r="72" spans="1:9">
      <c r="A72" s="12">
        <v>8</v>
      </c>
      <c r="B72" s="26" t="s">
        <v>69</v>
      </c>
      <c r="C72" s="13"/>
      <c r="D72" s="173">
        <f t="shared" ref="D72:E72" si="11">SUM(D73:D75)</f>
        <v>188434</v>
      </c>
      <c r="E72" s="173">
        <f t="shared" si="11"/>
        <v>165261</v>
      </c>
      <c r="F72" s="169">
        <f t="shared" si="1"/>
        <v>23173</v>
      </c>
      <c r="G72" s="148">
        <f t="shared" si="2"/>
        <v>0.14022062071511124</v>
      </c>
      <c r="H72" s="21"/>
      <c r="I72"/>
    </row>
    <row r="73" spans="1:9">
      <c r="A73" s="12"/>
      <c r="B73" s="17" t="s">
        <v>70</v>
      </c>
      <c r="C73" s="22"/>
      <c r="D73" s="165">
        <f>+ROUND('CE Min'!D437,0)</f>
        <v>3728</v>
      </c>
      <c r="E73" s="165">
        <f>+ROUND('CE Min'!E437,0)</f>
        <v>3905</v>
      </c>
      <c r="F73" s="167">
        <f t="shared" si="1"/>
        <v>-177</v>
      </c>
      <c r="G73" s="147">
        <f t="shared" si="2"/>
        <v>-4.5326504481434056E-2</v>
      </c>
      <c r="H73" s="20"/>
      <c r="I73"/>
    </row>
    <row r="74" spans="1:9">
      <c r="A74" s="12"/>
      <c r="B74" s="17" t="s">
        <v>71</v>
      </c>
      <c r="C74" s="22"/>
      <c r="D74" s="165">
        <f>+ROUND('CE Min'!D439,0)</f>
        <v>0</v>
      </c>
      <c r="E74" s="165">
        <f>+ROUND('CE Min'!E439,0)</f>
        <v>0</v>
      </c>
      <c r="F74" s="167">
        <f t="shared" ref="F74:F120" si="12">+D74-E74</f>
        <v>0</v>
      </c>
      <c r="G74" s="147"/>
      <c r="H74" s="20"/>
      <c r="I74"/>
    </row>
    <row r="75" spans="1:9">
      <c r="A75" s="16"/>
      <c r="B75" s="17" t="s">
        <v>72</v>
      </c>
      <c r="C75" s="22"/>
      <c r="D75" s="165">
        <f>+ROUND('CE Min'!D442,0)</f>
        <v>184706</v>
      </c>
      <c r="E75" s="165">
        <f>+ROUND('CE Min'!E442,0)</f>
        <v>161356</v>
      </c>
      <c r="F75" s="167">
        <f t="shared" si="12"/>
        <v>23350</v>
      </c>
      <c r="G75" s="147">
        <f t="shared" ref="G75:G120" si="13">+F75/E75</f>
        <v>0.1447110736508094</v>
      </c>
      <c r="H75" s="20"/>
      <c r="I75"/>
    </row>
    <row r="76" spans="1:9">
      <c r="A76" s="12">
        <v>9</v>
      </c>
      <c r="B76" s="26" t="s">
        <v>73</v>
      </c>
      <c r="C76" s="13"/>
      <c r="D76" s="173">
        <f>+ROUND('CE Min'!D443,0)</f>
        <v>0</v>
      </c>
      <c r="E76" s="173">
        <f>+ROUND('CE Min'!E443,0)</f>
        <v>0</v>
      </c>
      <c r="F76" s="169">
        <f t="shared" si="12"/>
        <v>0</v>
      </c>
      <c r="G76" s="148"/>
      <c r="H76" s="21"/>
      <c r="I76"/>
    </row>
    <row r="77" spans="1:9">
      <c r="A77" s="12">
        <v>10</v>
      </c>
      <c r="B77" s="13" t="s">
        <v>74</v>
      </c>
      <c r="C77" s="25"/>
      <c r="D77" s="173">
        <f t="shared" ref="D77:E77" si="14">SUM(D78:D79)</f>
        <v>-12636</v>
      </c>
      <c r="E77" s="173">
        <f t="shared" si="14"/>
        <v>-12369420</v>
      </c>
      <c r="F77" s="169">
        <f t="shared" si="12"/>
        <v>12356784</v>
      </c>
      <c r="G77" s="148">
        <f t="shared" si="13"/>
        <v>-0.99897844846403472</v>
      </c>
      <c r="H77" s="21"/>
      <c r="I77"/>
    </row>
    <row r="78" spans="1:9">
      <c r="A78" s="12"/>
      <c r="B78" s="17" t="s">
        <v>75</v>
      </c>
      <c r="C78" s="22"/>
      <c r="D78" s="165">
        <f>+ROUND('CE Min'!D447,0)</f>
        <v>-185721</v>
      </c>
      <c r="E78" s="165">
        <f>+ROUND('CE Min'!E447,0)</f>
        <v>-12775531</v>
      </c>
      <c r="F78" s="167">
        <f t="shared" si="12"/>
        <v>12589810</v>
      </c>
      <c r="G78" s="147">
        <f t="shared" si="13"/>
        <v>-0.98546275689049634</v>
      </c>
      <c r="H78" s="20"/>
      <c r="I78"/>
    </row>
    <row r="79" spans="1:9">
      <c r="A79" s="12"/>
      <c r="B79" s="17" t="s">
        <v>76</v>
      </c>
      <c r="C79" s="22"/>
      <c r="D79" s="165">
        <f>+ROUND('CE Min'!D456,0)</f>
        <v>173085</v>
      </c>
      <c r="E79" s="165">
        <f>+ROUND('CE Min'!E456,0)</f>
        <v>406111</v>
      </c>
      <c r="F79" s="167">
        <f t="shared" si="12"/>
        <v>-233026</v>
      </c>
      <c r="G79" s="147">
        <f t="shared" si="13"/>
        <v>-0.57379878900103665</v>
      </c>
      <c r="H79" s="20"/>
      <c r="I79"/>
    </row>
    <row r="80" spans="1:9">
      <c r="A80" s="12">
        <v>11</v>
      </c>
      <c r="B80" s="13" t="s">
        <v>77</v>
      </c>
      <c r="C80" s="25"/>
      <c r="D80" s="173">
        <f t="shared" ref="D80:E80" si="15">SUM(D81:D84)</f>
        <v>51143053</v>
      </c>
      <c r="E80" s="173">
        <f t="shared" si="15"/>
        <v>35290825</v>
      </c>
      <c r="F80" s="169">
        <f t="shared" si="12"/>
        <v>15852228</v>
      </c>
      <c r="G80" s="148">
        <f t="shared" si="13"/>
        <v>0.44918836553126767</v>
      </c>
      <c r="H80" s="21"/>
      <c r="I80"/>
    </row>
    <row r="81" spans="1:9">
      <c r="A81" s="12"/>
      <c r="B81" s="17" t="s">
        <v>78</v>
      </c>
      <c r="C81" s="14"/>
      <c r="D81" s="165">
        <f>+ROUND('CE Min'!D464,0)</f>
        <v>17163207</v>
      </c>
      <c r="E81" s="165">
        <f>+ROUND('CE Min'!E464,0)</f>
        <v>14801743</v>
      </c>
      <c r="F81" s="167">
        <f t="shared" si="12"/>
        <v>2361464</v>
      </c>
      <c r="G81" s="147">
        <f t="shared" si="13"/>
        <v>0.15953958935782089</v>
      </c>
      <c r="H81" s="20"/>
      <c r="I81"/>
    </row>
    <row r="82" spans="1:9">
      <c r="A82" s="12"/>
      <c r="B82" s="17" t="s">
        <v>79</v>
      </c>
      <c r="C82" s="14"/>
      <c r="D82" s="165">
        <f>+ROUND('CE Min'!D472,0)</f>
        <v>0</v>
      </c>
      <c r="E82" s="165">
        <f>+ROUND('CE Min'!E472,0)</f>
        <v>0</v>
      </c>
      <c r="F82" s="167">
        <f t="shared" si="12"/>
        <v>0</v>
      </c>
      <c r="G82" s="147"/>
      <c r="H82" s="20"/>
      <c r="I82"/>
    </row>
    <row r="83" spans="1:9">
      <c r="A83" s="12"/>
      <c r="B83" s="17" t="s">
        <v>80</v>
      </c>
      <c r="C83" s="14"/>
      <c r="D83" s="165">
        <f>+ROUND('CE Min'!D473,0)</f>
        <v>33433716</v>
      </c>
      <c r="E83" s="165">
        <f>+ROUND('CE Min'!E473,0)</f>
        <v>17878009</v>
      </c>
      <c r="F83" s="167">
        <f t="shared" si="12"/>
        <v>15555707</v>
      </c>
      <c r="G83" s="147">
        <f t="shared" si="13"/>
        <v>0.87010287331212333</v>
      </c>
      <c r="H83" s="20"/>
      <c r="I83"/>
    </row>
    <row r="84" spans="1:9">
      <c r="A84" s="12"/>
      <c r="B84" s="17" t="s">
        <v>81</v>
      </c>
      <c r="C84" s="14"/>
      <c r="D84" s="165">
        <f>+ROUND('CE Min'!D480,0)</f>
        <v>546130</v>
      </c>
      <c r="E84" s="165">
        <f>+ROUND('CE Min'!E480,0)</f>
        <v>2611073</v>
      </c>
      <c r="F84" s="167">
        <f t="shared" si="12"/>
        <v>-2064943</v>
      </c>
      <c r="G84" s="147">
        <f t="shared" si="13"/>
        <v>-0.79084077695261679</v>
      </c>
      <c r="H84" s="20"/>
      <c r="I84"/>
    </row>
    <row r="85" spans="1:9">
      <c r="A85" s="206" t="s">
        <v>82</v>
      </c>
      <c r="B85" s="207"/>
      <c r="C85" s="207"/>
      <c r="D85" s="170">
        <f t="shared" ref="D85:E85" si="16">D38+D41+D63+D64+D65+D71+D72+D76+D77+D80+D59</f>
        <v>572143900</v>
      </c>
      <c r="E85" s="170">
        <f t="shared" si="16"/>
        <v>509088911</v>
      </c>
      <c r="F85" s="171">
        <f t="shared" si="12"/>
        <v>63054989</v>
      </c>
      <c r="G85" s="140">
        <f t="shared" si="13"/>
        <v>0.12385850022963867</v>
      </c>
      <c r="H85" s="21"/>
      <c r="I85"/>
    </row>
    <row r="86" spans="1:9" ht="13.5" thickBot="1">
      <c r="A86" s="27"/>
      <c r="B86" s="28"/>
      <c r="C86" s="29"/>
      <c r="D86" s="174"/>
      <c r="E86" s="174"/>
      <c r="F86" s="175"/>
      <c r="G86" s="149"/>
      <c r="H86" s="18"/>
      <c r="I86"/>
    </row>
    <row r="87" spans="1:9" ht="13.5" thickBot="1">
      <c r="A87" s="208" t="s">
        <v>83</v>
      </c>
      <c r="B87" s="209"/>
      <c r="C87" s="209"/>
      <c r="D87" s="176">
        <f t="shared" ref="D87:E87" si="17">+D35-D85</f>
        <v>8052764</v>
      </c>
      <c r="E87" s="176">
        <f t="shared" si="17"/>
        <v>-967868</v>
      </c>
      <c r="F87" s="171"/>
      <c r="G87" s="140"/>
      <c r="H87" s="21"/>
      <c r="I87"/>
    </row>
    <row r="88" spans="1:9">
      <c r="A88" s="30"/>
      <c r="B88" s="31"/>
      <c r="C88" s="32"/>
      <c r="D88" s="172"/>
      <c r="E88" s="172"/>
      <c r="F88" s="167"/>
      <c r="G88" s="147"/>
      <c r="H88" s="18"/>
      <c r="I88"/>
    </row>
    <row r="89" spans="1:9">
      <c r="A89" s="12" t="s">
        <v>84</v>
      </c>
      <c r="B89" s="13" t="s">
        <v>85</v>
      </c>
      <c r="C89" s="25"/>
      <c r="D89" s="173"/>
      <c r="E89" s="173"/>
      <c r="F89" s="169"/>
      <c r="G89" s="148"/>
      <c r="H89" s="18"/>
      <c r="I89"/>
    </row>
    <row r="90" spans="1:9">
      <c r="A90" s="33"/>
      <c r="B90" s="3" t="s">
        <v>86</v>
      </c>
      <c r="C90" s="34" t="s">
        <v>87</v>
      </c>
      <c r="D90" s="168">
        <f>+ROUND('CE Min'!D493+'CE Min'!D497,0)</f>
        <v>1</v>
      </c>
      <c r="E90" s="168">
        <f>+ROUND('CE Min'!E493+'CE Min'!E497,0)</f>
        <v>0</v>
      </c>
      <c r="F90" s="169">
        <f t="shared" si="12"/>
        <v>1</v>
      </c>
      <c r="G90" s="148"/>
      <c r="H90" s="21"/>
      <c r="I90"/>
    </row>
    <row r="91" spans="1:9">
      <c r="A91" s="33"/>
      <c r="B91" s="3" t="s">
        <v>88</v>
      </c>
      <c r="C91" s="34" t="s">
        <v>89</v>
      </c>
      <c r="D91" s="168">
        <f>+ROUND('CE Min'!D503+'CE Min'!D507,0)</f>
        <v>0</v>
      </c>
      <c r="E91" s="168">
        <f>+ROUND('CE Min'!E503+'CE Min'!E507,0)</f>
        <v>0</v>
      </c>
      <c r="F91" s="169">
        <f t="shared" si="12"/>
        <v>0</v>
      </c>
      <c r="G91" s="148"/>
      <c r="H91" s="21"/>
      <c r="I91"/>
    </row>
    <row r="92" spans="1:9">
      <c r="A92" s="206" t="s">
        <v>90</v>
      </c>
      <c r="B92" s="207"/>
      <c r="C92" s="207" t="s">
        <v>91</v>
      </c>
      <c r="D92" s="170">
        <f t="shared" ref="D92:E92" si="18">+D90-D91</f>
        <v>1</v>
      </c>
      <c r="E92" s="170">
        <f t="shared" si="18"/>
        <v>0</v>
      </c>
      <c r="F92" s="171">
        <f t="shared" si="12"/>
        <v>1</v>
      </c>
      <c r="G92" s="140"/>
      <c r="H92" s="21"/>
      <c r="I92"/>
    </row>
    <row r="93" spans="1:9">
      <c r="A93" s="33"/>
      <c r="B93" s="35"/>
      <c r="C93" s="13"/>
      <c r="D93" s="173"/>
      <c r="E93" s="173"/>
      <c r="F93" s="169"/>
      <c r="G93" s="148"/>
      <c r="H93" s="18"/>
      <c r="I93"/>
    </row>
    <row r="94" spans="1:9">
      <c r="A94" s="12" t="s">
        <v>92</v>
      </c>
      <c r="B94" s="13" t="s">
        <v>93</v>
      </c>
      <c r="C94" s="13"/>
      <c r="D94" s="173"/>
      <c r="E94" s="173"/>
      <c r="F94" s="169"/>
      <c r="G94" s="148"/>
      <c r="H94" s="18"/>
      <c r="I94"/>
    </row>
    <row r="95" spans="1:9">
      <c r="A95" s="33"/>
      <c r="B95" s="3" t="s">
        <v>86</v>
      </c>
      <c r="C95" s="13" t="s">
        <v>94</v>
      </c>
      <c r="D95" s="168">
        <f>+ROUND(+'CE Min'!D512,0)</f>
        <v>0</v>
      </c>
      <c r="E95" s="168">
        <f>+ROUND(+'CE Min'!E512,0)</f>
        <v>0</v>
      </c>
      <c r="F95" s="169">
        <f t="shared" si="12"/>
        <v>0</v>
      </c>
      <c r="G95" s="148"/>
      <c r="H95" s="18"/>
      <c r="I95"/>
    </row>
    <row r="96" spans="1:9">
      <c r="A96" s="33"/>
      <c r="B96" s="3" t="s">
        <v>88</v>
      </c>
      <c r="C96" s="13" t="s">
        <v>95</v>
      </c>
      <c r="D96" s="168">
        <f>+ROUND(+'CE Min'!D513,0)</f>
        <v>0</v>
      </c>
      <c r="E96" s="168">
        <f>+ROUND(+'CE Min'!E513,0)</f>
        <v>0</v>
      </c>
      <c r="F96" s="169">
        <f t="shared" si="12"/>
        <v>0</v>
      </c>
      <c r="G96" s="148"/>
      <c r="H96" s="18"/>
      <c r="I96"/>
    </row>
    <row r="97" spans="1:9">
      <c r="A97" s="206" t="s">
        <v>96</v>
      </c>
      <c r="B97" s="207"/>
      <c r="C97" s="207" t="s">
        <v>91</v>
      </c>
      <c r="D97" s="170">
        <f t="shared" ref="D97:E97" si="19">D95-D96</f>
        <v>0</v>
      </c>
      <c r="E97" s="170">
        <f t="shared" si="19"/>
        <v>0</v>
      </c>
      <c r="F97" s="171">
        <f t="shared" si="12"/>
        <v>0</v>
      </c>
      <c r="G97" s="140"/>
      <c r="H97" s="21"/>
      <c r="I97"/>
    </row>
    <row r="98" spans="1:9">
      <c r="A98" s="33"/>
      <c r="B98" s="35"/>
      <c r="C98" s="13"/>
      <c r="D98" s="177"/>
      <c r="E98" s="177"/>
      <c r="F98" s="178"/>
      <c r="G98" s="150"/>
      <c r="H98" s="18"/>
      <c r="I98"/>
    </row>
    <row r="99" spans="1:9">
      <c r="A99" s="12" t="s">
        <v>97</v>
      </c>
      <c r="B99" s="13" t="s">
        <v>98</v>
      </c>
      <c r="C99" s="25"/>
      <c r="D99" s="177"/>
      <c r="E99" s="177"/>
      <c r="F99" s="178"/>
      <c r="G99" s="150"/>
      <c r="H99" s="18"/>
      <c r="I99"/>
    </row>
    <row r="100" spans="1:9">
      <c r="A100" s="12"/>
      <c r="B100" s="3">
        <v>1</v>
      </c>
      <c r="C100" s="34" t="s">
        <v>99</v>
      </c>
      <c r="D100" s="177">
        <f t="shared" ref="D100:E100" si="20">SUM(D101:D102)</f>
        <v>1280692</v>
      </c>
      <c r="E100" s="177">
        <f t="shared" si="20"/>
        <v>5135792</v>
      </c>
      <c r="F100" s="178">
        <f t="shared" si="12"/>
        <v>-3855100</v>
      </c>
      <c r="G100" s="150">
        <f t="shared" si="13"/>
        <v>-0.75063398206157883</v>
      </c>
      <c r="H100" s="21"/>
      <c r="I100"/>
    </row>
    <row r="101" spans="1:9">
      <c r="A101" s="12"/>
      <c r="B101" s="3"/>
      <c r="C101" s="17" t="s">
        <v>100</v>
      </c>
      <c r="D101" s="165">
        <f>+ROUND(+'CE Min'!D517,0)</f>
        <v>0</v>
      </c>
      <c r="E101" s="165">
        <f>+ROUND(+'CE Min'!E517,0)</f>
        <v>0</v>
      </c>
      <c r="F101" s="162">
        <f t="shared" si="12"/>
        <v>0</v>
      </c>
      <c r="G101" s="151"/>
      <c r="H101" s="20"/>
      <c r="I101"/>
    </row>
    <row r="102" spans="1:9">
      <c r="A102" s="12"/>
      <c r="B102" s="3"/>
      <c r="C102" s="17" t="s">
        <v>101</v>
      </c>
      <c r="D102" s="165">
        <f>+ROUND('CE Min'!D518,0)+2</f>
        <v>1280692</v>
      </c>
      <c r="E102" s="165">
        <f>+ROUND('CE Min'!E518,0)</f>
        <v>5135792</v>
      </c>
      <c r="F102" s="162">
        <f t="shared" si="12"/>
        <v>-3855100</v>
      </c>
      <c r="G102" s="151">
        <f t="shared" si="13"/>
        <v>-0.75063398206157883</v>
      </c>
      <c r="H102" s="20"/>
      <c r="I102"/>
    </row>
    <row r="103" spans="1:9">
      <c r="A103" s="12"/>
      <c r="B103" s="3">
        <v>2</v>
      </c>
      <c r="C103" s="13" t="s">
        <v>102</v>
      </c>
      <c r="D103" s="177">
        <f t="shared" ref="D103:E103" si="21">SUM(D104:D105)</f>
        <v>7311194</v>
      </c>
      <c r="E103" s="177">
        <f t="shared" si="21"/>
        <v>181512</v>
      </c>
      <c r="F103" s="178">
        <f t="shared" si="12"/>
        <v>7129682</v>
      </c>
      <c r="G103" s="150">
        <f t="shared" si="13"/>
        <v>39.279397505399089</v>
      </c>
      <c r="H103" s="21"/>
      <c r="I103"/>
    </row>
    <row r="104" spans="1:9">
      <c r="A104" s="12"/>
      <c r="B104" s="3"/>
      <c r="C104" s="17" t="s">
        <v>103</v>
      </c>
      <c r="D104" s="165">
        <f>+ROUND(+'CE Min'!D543,0)</f>
        <v>406</v>
      </c>
      <c r="E104" s="165">
        <f>+ROUND(+'CE Min'!E543,0)</f>
        <v>0</v>
      </c>
      <c r="F104" s="179">
        <f t="shared" si="12"/>
        <v>406</v>
      </c>
      <c r="G104" s="152"/>
      <c r="H104" s="20"/>
      <c r="I104"/>
    </row>
    <row r="105" spans="1:9">
      <c r="A105" s="12"/>
      <c r="B105" s="3"/>
      <c r="C105" s="17" t="s">
        <v>104</v>
      </c>
      <c r="D105" s="165">
        <f>+ROUND('CE Min'!D544,0)</f>
        <v>7310788</v>
      </c>
      <c r="E105" s="165">
        <f>+ROUND('CE Min'!E544,0)+1</f>
        <v>181512</v>
      </c>
      <c r="F105" s="179">
        <f t="shared" si="12"/>
        <v>7129276</v>
      </c>
      <c r="G105" s="152">
        <f t="shared" si="13"/>
        <v>39.277160738683946</v>
      </c>
      <c r="H105" s="798"/>
      <c r="I105"/>
    </row>
    <row r="106" spans="1:9">
      <c r="A106" s="206" t="s">
        <v>105</v>
      </c>
      <c r="B106" s="207"/>
      <c r="C106" s="207" t="s">
        <v>106</v>
      </c>
      <c r="D106" s="180">
        <f t="shared" ref="D106:E106" si="22">D100-D103</f>
        <v>-6030502</v>
      </c>
      <c r="E106" s="180">
        <f t="shared" si="22"/>
        <v>4954280</v>
      </c>
      <c r="F106" s="181">
        <f t="shared" si="12"/>
        <v>-10984782</v>
      </c>
      <c r="G106" s="141">
        <f t="shared" si="13"/>
        <v>-2.217230758051624</v>
      </c>
      <c r="H106" s="21"/>
      <c r="I106"/>
    </row>
    <row r="107" spans="1:9" ht="13.5" thickBot="1">
      <c r="A107" s="36"/>
      <c r="B107" s="37"/>
      <c r="C107" s="38"/>
      <c r="D107" s="182"/>
      <c r="E107" s="182"/>
      <c r="F107" s="183"/>
      <c r="G107" s="153"/>
      <c r="H107" s="18"/>
      <c r="I107"/>
    </row>
    <row r="108" spans="1:9" ht="13.5" thickBot="1">
      <c r="A108" s="208" t="s">
        <v>107</v>
      </c>
      <c r="B108" s="209"/>
      <c r="C108" s="209"/>
      <c r="D108" s="184">
        <f t="shared" ref="D108:E108" si="23">D87+D92+D97+D106</f>
        <v>2022263</v>
      </c>
      <c r="E108" s="184">
        <f t="shared" si="23"/>
        <v>3986412</v>
      </c>
      <c r="F108" s="185">
        <f t="shared" si="12"/>
        <v>-1964149</v>
      </c>
      <c r="G108" s="142">
        <f t="shared" si="13"/>
        <v>-0.49271098923041573</v>
      </c>
      <c r="H108" s="21"/>
      <c r="I108"/>
    </row>
    <row r="109" spans="1:9">
      <c r="A109" s="16"/>
      <c r="B109" s="23"/>
      <c r="C109" s="39"/>
      <c r="D109" s="186"/>
      <c r="E109" s="186"/>
      <c r="F109" s="179"/>
      <c r="G109" s="152"/>
      <c r="H109" s="18"/>
      <c r="I109"/>
    </row>
    <row r="110" spans="1:9">
      <c r="A110" s="12" t="s">
        <v>108</v>
      </c>
      <c r="B110" s="13" t="s">
        <v>109</v>
      </c>
      <c r="C110" s="25"/>
      <c r="D110" s="177"/>
      <c r="E110" s="177"/>
      <c r="F110" s="178"/>
      <c r="G110" s="150"/>
      <c r="H110" s="18"/>
      <c r="I110"/>
    </row>
    <row r="111" spans="1:9">
      <c r="A111" s="12"/>
      <c r="B111" s="3" t="s">
        <v>86</v>
      </c>
      <c r="C111" s="34" t="s">
        <v>110</v>
      </c>
      <c r="D111" s="177">
        <f t="shared" ref="D111:E111" si="24">SUM(D112:D115)</f>
        <v>1008499</v>
      </c>
      <c r="E111" s="177">
        <f t="shared" si="24"/>
        <v>944994</v>
      </c>
      <c r="F111" s="178">
        <f t="shared" si="12"/>
        <v>63505</v>
      </c>
      <c r="G111" s="150">
        <f t="shared" si="13"/>
        <v>6.7201484877152662E-2</v>
      </c>
      <c r="H111" s="21"/>
      <c r="I111"/>
    </row>
    <row r="112" spans="1:9">
      <c r="A112" s="16"/>
      <c r="B112" s="19"/>
      <c r="C112" s="17" t="s">
        <v>111</v>
      </c>
      <c r="D112" s="165">
        <f>+ROUND(+'CE Min'!D578,0)</f>
        <v>826377</v>
      </c>
      <c r="E112" s="165">
        <f>+ROUND(+'CE Min'!E578,0)</f>
        <v>710793</v>
      </c>
      <c r="F112" s="162">
        <f t="shared" si="12"/>
        <v>115584</v>
      </c>
      <c r="G112" s="151">
        <f t="shared" si="13"/>
        <v>0.16261274379460686</v>
      </c>
      <c r="H112" s="20"/>
      <c r="I112"/>
    </row>
    <row r="113" spans="1:9">
      <c r="A113" s="16"/>
      <c r="B113" s="19"/>
      <c r="C113" s="17" t="s">
        <v>112</v>
      </c>
      <c r="D113" s="165">
        <f>+ROUND(+'CE Min'!D579,0)</f>
        <v>182122</v>
      </c>
      <c r="E113" s="165">
        <f>+ROUND(+'CE Min'!E579,0)</f>
        <v>234201</v>
      </c>
      <c r="F113" s="162">
        <f t="shared" si="12"/>
        <v>-52079</v>
      </c>
      <c r="G113" s="151">
        <f t="shared" si="13"/>
        <v>-0.2223688199452607</v>
      </c>
      <c r="H113" s="20"/>
      <c r="I113"/>
    </row>
    <row r="114" spans="1:9">
      <c r="A114" s="16"/>
      <c r="B114" s="19"/>
      <c r="C114" s="17" t="s">
        <v>113</v>
      </c>
      <c r="D114" s="165">
        <f>+ROUND(+'CE Min'!D580,0)</f>
        <v>0</v>
      </c>
      <c r="E114" s="165">
        <f>+ROUND(+'CE Min'!E580,0)</f>
        <v>0</v>
      </c>
      <c r="F114" s="162">
        <f t="shared" si="12"/>
        <v>0</v>
      </c>
      <c r="G114" s="151"/>
      <c r="H114" s="20"/>
      <c r="I114"/>
    </row>
    <row r="115" spans="1:9">
      <c r="A115" s="16"/>
      <c r="B115" s="19"/>
      <c r="C115" s="17" t="s">
        <v>114</v>
      </c>
      <c r="D115" s="165">
        <f>+ROUND(+'CE Min'!D581,0)</f>
        <v>0</v>
      </c>
      <c r="E115" s="165">
        <f>+ROUND(+'CE Min'!E581,0)</f>
        <v>0</v>
      </c>
      <c r="F115" s="162">
        <f t="shared" si="12"/>
        <v>0</v>
      </c>
      <c r="G115" s="151"/>
      <c r="H115" s="20"/>
      <c r="I115"/>
    </row>
    <row r="116" spans="1:9">
      <c r="A116" s="12"/>
      <c r="B116" s="3" t="s">
        <v>88</v>
      </c>
      <c r="C116" s="13" t="s">
        <v>115</v>
      </c>
      <c r="D116" s="173">
        <f>+ROUND(+'CE Min'!D582,0)</f>
        <v>166457</v>
      </c>
      <c r="E116" s="173">
        <f>+ROUND(+'CE Min'!E582,0)</f>
        <v>166457</v>
      </c>
      <c r="F116" s="178">
        <f t="shared" si="12"/>
        <v>0</v>
      </c>
      <c r="G116" s="150">
        <f t="shared" si="13"/>
        <v>0</v>
      </c>
      <c r="H116" s="21"/>
      <c r="I116"/>
    </row>
    <row r="117" spans="1:9">
      <c r="A117" s="12"/>
      <c r="B117" s="3" t="s">
        <v>116</v>
      </c>
      <c r="C117" s="40" t="s">
        <v>117</v>
      </c>
      <c r="D117" s="173">
        <f>+ROUND(+'CE Min'!D585,0)</f>
        <v>0</v>
      </c>
      <c r="E117" s="173">
        <f>+ROUND(+'CE Min'!E585,0)</f>
        <v>0</v>
      </c>
      <c r="F117" s="187">
        <f t="shared" si="12"/>
        <v>0</v>
      </c>
      <c r="G117" s="154"/>
      <c r="H117" s="18"/>
      <c r="I117"/>
    </row>
    <row r="118" spans="1:9">
      <c r="A118" s="206" t="s">
        <v>118</v>
      </c>
      <c r="B118" s="207"/>
      <c r="C118" s="207"/>
      <c r="D118" s="180">
        <f t="shared" ref="D118:E118" si="25">D111+D116+D117</f>
        <v>1174956</v>
      </c>
      <c r="E118" s="180">
        <f t="shared" si="25"/>
        <v>1111451</v>
      </c>
      <c r="F118" s="181">
        <f t="shared" si="12"/>
        <v>63505</v>
      </c>
      <c r="G118" s="141">
        <f t="shared" si="13"/>
        <v>5.7137021785035956E-2</v>
      </c>
      <c r="H118" s="21"/>
      <c r="I118"/>
    </row>
    <row r="119" spans="1:9">
      <c r="A119" s="16"/>
      <c r="B119" s="23"/>
      <c r="C119" s="14"/>
      <c r="D119" s="179"/>
      <c r="E119" s="179"/>
      <c r="F119" s="179"/>
      <c r="G119" s="152"/>
      <c r="H119" s="18"/>
      <c r="I119"/>
    </row>
    <row r="120" spans="1:9" ht="13.5" thickBot="1">
      <c r="A120" s="41" t="s">
        <v>119</v>
      </c>
      <c r="B120" s="42"/>
      <c r="C120" s="43"/>
      <c r="D120" s="188">
        <f t="shared" ref="D120:E120" si="26">D108-D118</f>
        <v>847307</v>
      </c>
      <c r="E120" s="188">
        <f t="shared" si="26"/>
        <v>2874961</v>
      </c>
      <c r="F120" s="188">
        <f t="shared" si="12"/>
        <v>-2027654</v>
      </c>
      <c r="G120" s="155">
        <f t="shared" si="13"/>
        <v>-0.70528052380536643</v>
      </c>
      <c r="H120" s="21"/>
      <c r="I120"/>
    </row>
    <row r="122" spans="1:9">
      <c r="A122" s="44"/>
      <c r="B122" s="44"/>
      <c r="C122" s="44"/>
      <c r="D122" s="45"/>
      <c r="E122" s="45"/>
      <c r="F122" s="45"/>
      <c r="G122" s="45"/>
      <c r="H122" s="45"/>
      <c r="I122" s="285"/>
    </row>
    <row r="123" spans="1:9">
      <c r="D123" s="801"/>
    </row>
    <row r="125" spans="1:9">
      <c r="C125" s="44"/>
      <c r="D125" s="45"/>
      <c r="E125" s="45"/>
      <c r="F125" s="45"/>
      <c r="G125" s="45"/>
      <c r="I125" s="286"/>
    </row>
    <row r="130" spans="9:9">
      <c r="I130" s="287"/>
    </row>
  </sheetData>
  <mergeCells count="5">
    <mergeCell ref="D2:G2"/>
    <mergeCell ref="A4:C4"/>
    <mergeCell ref="F4:G4"/>
    <mergeCell ref="D4:D5"/>
    <mergeCell ref="E4:E5"/>
  </mergeCells>
  <printOptions horizontalCentered="1"/>
  <pageMargins left="0" right="0" top="0.19685039370078741" bottom="0.19685039370078741" header="0.31496062992125984" footer="0.31496062992125984"/>
  <pageSetup paperSize="8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0"/>
  <sheetViews>
    <sheetView topLeftCell="A429" zoomScaleNormal="100" workbookViewId="0">
      <selection activeCell="X538" sqref="X538"/>
    </sheetView>
  </sheetViews>
  <sheetFormatPr defaultColWidth="16.7109375" defaultRowHeight="12.75"/>
  <cols>
    <col min="1" max="1" width="8.5703125" customWidth="1"/>
    <col min="3" max="3" width="52" customWidth="1"/>
    <col min="4" max="6" width="17" customWidth="1"/>
    <col min="7" max="22" width="3.140625" customWidth="1"/>
    <col min="23" max="23" width="0.85546875" customWidth="1"/>
  </cols>
  <sheetData>
    <row r="1" spans="1:24" s="53" customFormat="1" ht="15" customHeight="1">
      <c r="A1" s="50" t="s">
        <v>1218</v>
      </c>
      <c r="B1" s="51"/>
      <c r="C1" s="52"/>
      <c r="D1" s="52"/>
      <c r="E1" s="52"/>
      <c r="F1" s="52"/>
      <c r="T1" s="823" t="s">
        <v>1219</v>
      </c>
      <c r="U1" s="824"/>
      <c r="V1" s="825"/>
      <c r="W1" s="54"/>
    </row>
    <row r="2" spans="1:24" s="53" customFormat="1" ht="15.95" customHeight="1" thickBot="1">
      <c r="A2" s="51"/>
      <c r="B2" s="51"/>
      <c r="C2" s="52"/>
      <c r="D2" s="52"/>
      <c r="E2" s="52"/>
      <c r="F2" s="52"/>
      <c r="T2" s="826"/>
      <c r="U2" s="827"/>
      <c r="V2" s="828"/>
      <c r="W2" s="54"/>
    </row>
    <row r="3" spans="1:24" s="53" customFormat="1" ht="15">
      <c r="A3" s="55" t="s">
        <v>1220</v>
      </c>
      <c r="B3" s="51"/>
      <c r="C3" s="52"/>
      <c r="D3" s="52"/>
      <c r="E3" s="52"/>
      <c r="F3" s="52"/>
      <c r="W3" s="54"/>
    </row>
    <row r="4" spans="1:24" s="53" customFormat="1" ht="15">
      <c r="A4" s="55" t="s">
        <v>1221</v>
      </c>
      <c r="B4" s="51"/>
      <c r="C4" s="52"/>
      <c r="D4" s="52"/>
      <c r="E4" s="52"/>
      <c r="F4" s="52"/>
      <c r="W4" s="54"/>
    </row>
    <row r="5" spans="1:24" s="53" customFormat="1" ht="15">
      <c r="A5" s="51"/>
      <c r="B5" s="51"/>
      <c r="C5" s="52"/>
      <c r="D5" s="52"/>
      <c r="E5" s="52"/>
      <c r="F5" s="52"/>
      <c r="W5" s="54"/>
    </row>
    <row r="6" spans="1:24" s="53" customFormat="1" ht="76.5" customHeight="1">
      <c r="A6" s="56" t="s">
        <v>1222</v>
      </c>
      <c r="B6" s="51"/>
      <c r="C6" s="57"/>
      <c r="D6" s="57"/>
      <c r="E6" s="57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/>
    </row>
    <row r="7" spans="1:24" s="53" customFormat="1" ht="21" customHeight="1" thickBot="1">
      <c r="A7" s="61"/>
      <c r="B7" s="62"/>
      <c r="C7" s="62"/>
      <c r="D7" s="62"/>
      <c r="E7" s="62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59"/>
      <c r="W7" s="60"/>
    </row>
    <row r="8" spans="1:24" s="53" customFormat="1" ht="18.75" thickBot="1">
      <c r="A8" s="63" t="s">
        <v>1223</v>
      </c>
      <c r="B8" s="64"/>
      <c r="C8" s="292"/>
      <c r="D8" s="292"/>
      <c r="E8" s="199"/>
      <c r="F8" s="199"/>
      <c r="G8" s="199"/>
      <c r="H8" s="199"/>
      <c r="I8" s="199"/>
      <c r="J8" s="65"/>
      <c r="K8" s="61"/>
      <c r="L8" s="293" t="s">
        <v>1954</v>
      </c>
      <c r="M8" s="199"/>
      <c r="N8" s="199"/>
      <c r="O8" s="199"/>
      <c r="P8" s="199"/>
      <c r="Q8" s="199"/>
      <c r="R8" s="199"/>
      <c r="S8" s="199"/>
      <c r="T8" s="199"/>
      <c r="U8" s="199"/>
      <c r="V8" s="65"/>
      <c r="W8" s="59"/>
      <c r="X8" s="60"/>
    </row>
    <row r="9" spans="1:24" s="53" customFormat="1" ht="18">
      <c r="A9" s="66"/>
      <c r="B9" s="67"/>
      <c r="C9" s="294"/>
      <c r="D9" s="294"/>
      <c r="E9" s="68"/>
      <c r="F9" s="68"/>
      <c r="G9" s="68"/>
      <c r="H9" s="68"/>
      <c r="I9" s="68"/>
      <c r="J9" s="69"/>
      <c r="K9" s="61"/>
      <c r="L9" s="295"/>
      <c r="M9" s="68"/>
      <c r="N9" s="68"/>
      <c r="O9" s="68"/>
      <c r="P9" s="68"/>
      <c r="Q9" s="68"/>
      <c r="R9" s="68"/>
      <c r="S9" s="68"/>
      <c r="T9" s="68"/>
      <c r="U9" s="68"/>
      <c r="V9" s="69"/>
      <c r="W9" s="59"/>
      <c r="X9" s="60"/>
    </row>
    <row r="10" spans="1:24" s="53" customFormat="1" ht="18">
      <c r="A10" s="70" t="s">
        <v>1224</v>
      </c>
      <c r="B10" s="301">
        <v>60</v>
      </c>
      <c r="C10" s="302" t="s">
        <v>1957</v>
      </c>
      <c r="D10" s="306"/>
      <c r="E10" s="61" t="s">
        <v>2653</v>
      </c>
      <c r="F10" s="71" t="s">
        <v>4496</v>
      </c>
      <c r="G10" s="71">
        <v>9</v>
      </c>
      <c r="H10" s="71">
        <v>6</v>
      </c>
      <c r="I10" s="71">
        <v>0</v>
      </c>
      <c r="J10" s="72"/>
      <c r="K10" s="61"/>
      <c r="L10" s="830" t="s">
        <v>2654</v>
      </c>
      <c r="M10" s="831"/>
      <c r="N10" s="832"/>
      <c r="O10" s="71">
        <v>2</v>
      </c>
      <c r="P10" s="71">
        <v>0</v>
      </c>
      <c r="Q10" s="71">
        <v>2</v>
      </c>
      <c r="R10" s="71">
        <v>4</v>
      </c>
      <c r="S10" s="61"/>
      <c r="T10" s="61"/>
      <c r="U10" s="61"/>
      <c r="V10" s="72"/>
      <c r="W10" s="59"/>
      <c r="X10" s="60"/>
    </row>
    <row r="11" spans="1:24" s="53" customFormat="1" ht="18">
      <c r="A11" s="70"/>
      <c r="B11" s="62"/>
      <c r="C11" s="296"/>
      <c r="D11" s="296"/>
      <c r="E11" s="61"/>
      <c r="F11" s="61"/>
      <c r="G11" s="61"/>
      <c r="H11" s="61"/>
      <c r="I11" s="61"/>
      <c r="J11" s="72"/>
      <c r="K11" s="61"/>
      <c r="L11" s="297"/>
      <c r="M11" s="61"/>
      <c r="N11" s="61"/>
      <c r="O11" s="61"/>
      <c r="P11" s="61"/>
      <c r="Q11" s="61"/>
      <c r="R11" s="61"/>
      <c r="S11" s="61"/>
      <c r="T11" s="61"/>
      <c r="U11" s="61"/>
      <c r="V11" s="72"/>
      <c r="W11" s="59"/>
      <c r="X11" s="60"/>
    </row>
    <row r="12" spans="1:24" s="53" customFormat="1" ht="18">
      <c r="A12" s="70"/>
      <c r="B12" s="62"/>
      <c r="C12" s="296"/>
      <c r="D12" s="296"/>
      <c r="E12" s="61"/>
      <c r="F12" s="61"/>
      <c r="G12" s="61"/>
      <c r="H12" s="61"/>
      <c r="I12" s="61"/>
      <c r="J12" s="72"/>
      <c r="K12" s="61"/>
      <c r="L12" s="833" t="s">
        <v>2655</v>
      </c>
      <c r="M12" s="834"/>
      <c r="N12" s="73">
        <v>1</v>
      </c>
      <c r="O12" s="71"/>
      <c r="P12" s="73">
        <v>2</v>
      </c>
      <c r="Q12" s="71"/>
      <c r="R12" s="73">
        <v>3</v>
      </c>
      <c r="S12" s="71"/>
      <c r="T12" s="73">
        <v>4</v>
      </c>
      <c r="U12" s="71"/>
      <c r="V12" s="72"/>
      <c r="W12" s="59"/>
      <c r="X12" s="60"/>
    </row>
    <row r="13" spans="1:24" s="53" customFormat="1" ht="18">
      <c r="A13" s="70"/>
      <c r="B13" s="62"/>
      <c r="C13" s="296"/>
      <c r="D13" s="296"/>
      <c r="E13" s="61"/>
      <c r="F13" s="61"/>
      <c r="G13" s="61"/>
      <c r="H13" s="61"/>
      <c r="I13" s="61"/>
      <c r="J13" s="72"/>
      <c r="K13" s="61"/>
      <c r="L13" s="297"/>
      <c r="M13" s="61"/>
      <c r="N13" s="61"/>
      <c r="O13" s="61"/>
      <c r="P13" s="61"/>
      <c r="Q13" s="61"/>
      <c r="R13" s="61"/>
      <c r="S13" s="61"/>
      <c r="T13" s="61"/>
      <c r="U13" s="61"/>
      <c r="V13" s="72"/>
      <c r="W13" s="59"/>
      <c r="X13" s="60"/>
    </row>
    <row r="14" spans="1:24" s="53" customFormat="1" ht="18">
      <c r="A14" s="70"/>
      <c r="B14" s="62"/>
      <c r="C14" s="296"/>
      <c r="D14" s="296"/>
      <c r="E14" s="61"/>
      <c r="F14" s="61"/>
      <c r="G14" s="61"/>
      <c r="H14" s="61"/>
      <c r="I14" s="61"/>
      <c r="J14" s="72"/>
      <c r="K14" s="61"/>
      <c r="L14" s="833" t="s">
        <v>1955</v>
      </c>
      <c r="M14" s="834"/>
      <c r="N14" s="835"/>
      <c r="O14" s="71"/>
      <c r="P14" s="61"/>
      <c r="Q14" s="834" t="s">
        <v>1225</v>
      </c>
      <c r="R14" s="834"/>
      <c r="S14" s="834"/>
      <c r="T14" s="835"/>
      <c r="U14" s="71" t="s">
        <v>4497</v>
      </c>
      <c r="V14" s="72"/>
      <c r="W14" s="59"/>
      <c r="X14" s="60"/>
    </row>
    <row r="15" spans="1:24" s="53" customFormat="1" ht="18.75" thickBot="1">
      <c r="A15" s="74"/>
      <c r="B15" s="75"/>
      <c r="C15" s="298"/>
      <c r="D15" s="298"/>
      <c r="E15" s="76"/>
      <c r="F15" s="76"/>
      <c r="G15" s="76"/>
      <c r="H15" s="76"/>
      <c r="I15" s="76"/>
      <c r="J15" s="77"/>
      <c r="K15" s="61"/>
      <c r="L15" s="299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59"/>
      <c r="X15" s="60"/>
    </row>
    <row r="16" spans="1:24" s="53" customFormat="1" ht="15">
      <c r="B16" s="62"/>
      <c r="C16" s="62"/>
      <c r="D16" s="62"/>
      <c r="E16" s="62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59"/>
      <c r="W16" s="60"/>
    </row>
    <row r="17" spans="1:24" s="53" customFormat="1" ht="15.75" thickBot="1">
      <c r="B17" s="62"/>
      <c r="C17" s="62"/>
      <c r="D17" s="62"/>
      <c r="E17" s="62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59"/>
      <c r="W17" s="60"/>
    </row>
    <row r="18" spans="1:24" s="53" customFormat="1" ht="15.95" customHeight="1" thickBot="1">
      <c r="A18" s="341" t="s">
        <v>1226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3"/>
      <c r="W18" s="59"/>
      <c r="X18" s="60"/>
    </row>
    <row r="19" spans="1:24" s="53" customFormat="1" ht="15">
      <c r="A19" s="78"/>
      <c r="B19" s="79"/>
      <c r="C19" s="79"/>
      <c r="D19" s="79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300"/>
      <c r="W19" s="59"/>
      <c r="X19" s="60"/>
    </row>
    <row r="20" spans="1:24" s="53" customFormat="1" ht="15">
      <c r="A20" s="81"/>
      <c r="B20" s="62"/>
      <c r="C20" s="62"/>
      <c r="D20" s="62"/>
      <c r="E20" s="62"/>
      <c r="F20" s="73"/>
      <c r="G20" s="73" t="s">
        <v>1956</v>
      </c>
      <c r="H20" s="71"/>
      <c r="I20" s="61"/>
      <c r="J20" s="73" t="s">
        <v>1227</v>
      </c>
      <c r="K20" s="71"/>
      <c r="L20" s="60"/>
      <c r="M20" s="61"/>
      <c r="N20" s="61"/>
      <c r="O20" s="61"/>
      <c r="P20" s="61"/>
      <c r="Q20" s="61"/>
      <c r="R20" s="61"/>
      <c r="S20" s="61"/>
      <c r="T20" s="61"/>
      <c r="U20" s="61"/>
      <c r="V20" s="72"/>
      <c r="W20" s="59"/>
      <c r="X20" s="60"/>
    </row>
    <row r="21" spans="1:24" s="53" customFormat="1" ht="15.75" thickBot="1">
      <c r="A21" s="82"/>
      <c r="B21" s="75"/>
      <c r="C21" s="75"/>
      <c r="D21" s="75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  <c r="W21" s="59"/>
      <c r="X21" s="60"/>
    </row>
    <row r="22" spans="1:24" s="53" customFormat="1" ht="15">
      <c r="B22" s="62"/>
      <c r="C22" s="62"/>
      <c r="D22" s="62"/>
      <c r="E22" s="62"/>
      <c r="F22" s="62"/>
      <c r="G22" s="62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59"/>
      <c r="X22" s="60"/>
    </row>
    <row r="23" spans="1:24" ht="18.75" thickBot="1">
      <c r="A23" s="83"/>
      <c r="B23" s="84"/>
      <c r="C23" s="84"/>
      <c r="D23" s="829" t="s">
        <v>2595</v>
      </c>
      <c r="E23" s="829"/>
      <c r="F23" s="829"/>
      <c r="G23" s="340"/>
      <c r="H23" s="83"/>
      <c r="I23" s="83"/>
      <c r="J23" s="83"/>
      <c r="K23" s="83"/>
      <c r="L23" s="83"/>
      <c r="T23" s="85"/>
    </row>
    <row r="24" spans="1:24" s="216" customFormat="1" ht="66" customHeight="1" thickBot="1">
      <c r="A24" s="189" t="s">
        <v>1228</v>
      </c>
      <c r="B24" s="86" t="s">
        <v>1229</v>
      </c>
      <c r="C24" s="283" t="s">
        <v>1230</v>
      </c>
      <c r="D24" s="214" t="s">
        <v>2661</v>
      </c>
      <c r="E24" s="214" t="s">
        <v>2659</v>
      </c>
      <c r="F24" s="88"/>
      <c r="G24" s="215"/>
      <c r="H24" s="87"/>
      <c r="I24" s="87"/>
      <c r="J24"/>
      <c r="K24" s="87"/>
      <c r="L24"/>
      <c r="M24"/>
      <c r="N24"/>
      <c r="O24"/>
      <c r="P24"/>
      <c r="Q24"/>
      <c r="R24"/>
      <c r="S24"/>
      <c r="T24" s="88"/>
      <c r="U24" s="88"/>
      <c r="W24" s="217"/>
    </row>
    <row r="25" spans="1:24" ht="18.75">
      <c r="A25" s="190"/>
      <c r="B25" s="114"/>
      <c r="C25" s="115" t="s">
        <v>1829</v>
      </c>
      <c r="D25" s="116"/>
      <c r="E25" s="116"/>
      <c r="F25" s="59"/>
      <c r="G25" s="200"/>
    </row>
    <row r="26" spans="1:24" ht="18.75">
      <c r="A26" s="191"/>
      <c r="B26" s="117" t="s">
        <v>1231</v>
      </c>
      <c r="C26" s="118" t="s">
        <v>1232</v>
      </c>
      <c r="D26" s="357">
        <f t="shared" ref="D26" si="0">(D27+D36+D51+D56)</f>
        <v>86090312.270000011</v>
      </c>
      <c r="E26" s="357">
        <f t="shared" ref="E26" si="1">(E27+E36+E51+E56)</f>
        <v>63586076.500000007</v>
      </c>
      <c r="F26" s="59" t="s">
        <v>1835</v>
      </c>
      <c r="G26" s="200"/>
    </row>
    <row r="27" spans="1:24" ht="25.5">
      <c r="A27" s="192"/>
      <c r="B27" s="112" t="s">
        <v>1233</v>
      </c>
      <c r="C27" s="113" t="s">
        <v>1234</v>
      </c>
      <c r="D27" s="358">
        <f t="shared" ref="D27" si="2">+D28+D35</f>
        <v>44562905.260000005</v>
      </c>
      <c r="E27" s="358">
        <f t="shared" ref="E27" si="3">+E28+E35</f>
        <v>54520669.510000005</v>
      </c>
      <c r="F27" s="59" t="s">
        <v>1835</v>
      </c>
      <c r="G27" s="200"/>
      <c r="H27" s="91"/>
    </row>
    <row r="28" spans="1:24" ht="25.5">
      <c r="A28" s="191"/>
      <c r="B28" s="121" t="s">
        <v>122</v>
      </c>
      <c r="C28" s="122" t="s">
        <v>1235</v>
      </c>
      <c r="D28" s="359">
        <f t="shared" ref="D28" si="4">+D29+D30+D31+D34</f>
        <v>44562905.260000005</v>
      </c>
      <c r="E28" s="359">
        <f t="shared" ref="E28" si="5">+E29+E30+E31+E34</f>
        <v>54520669.510000005</v>
      </c>
      <c r="F28" s="59" t="s">
        <v>1835</v>
      </c>
      <c r="G28" s="200"/>
      <c r="H28" s="91"/>
    </row>
    <row r="29" spans="1:24" ht="18.75">
      <c r="A29" s="191"/>
      <c r="B29" s="96" t="s">
        <v>123</v>
      </c>
      <c r="C29" s="97" t="s">
        <v>1236</v>
      </c>
      <c r="D29" s="360">
        <f>ROUND('Alim CE Ricavi'!E7,2)</f>
        <v>19996653.440000001</v>
      </c>
      <c r="E29" s="360">
        <f>ROUND('Alim CE Ricavi'!H7,2)</f>
        <v>18496634.670000002</v>
      </c>
      <c r="F29" s="59"/>
      <c r="G29" s="200"/>
      <c r="H29" s="91"/>
    </row>
    <row r="30" spans="1:24" ht="18.75">
      <c r="A30" s="191"/>
      <c r="B30" s="96" t="s">
        <v>125</v>
      </c>
      <c r="C30" s="97" t="s">
        <v>1237</v>
      </c>
      <c r="D30" s="360">
        <f>ROUND('Alim CE Ricavi'!E9,2)</f>
        <v>21785251.82</v>
      </c>
      <c r="E30" s="360">
        <f>ROUND('Alim CE Ricavi'!H9,2)</f>
        <v>33243034.84</v>
      </c>
      <c r="F30" s="59"/>
      <c r="G30" s="200"/>
      <c r="H30" s="91"/>
    </row>
    <row r="31" spans="1:24" ht="18.75">
      <c r="A31" s="191"/>
      <c r="B31" s="123" t="s">
        <v>126</v>
      </c>
      <c r="C31" s="124" t="s">
        <v>1238</v>
      </c>
      <c r="D31" s="361">
        <f t="shared" ref="D31" si="6">+D32+D33</f>
        <v>2781000</v>
      </c>
      <c r="E31" s="361">
        <f t="shared" ref="E31" si="7">+E32+E33</f>
        <v>2781000</v>
      </c>
      <c r="F31" s="59" t="s">
        <v>1835</v>
      </c>
      <c r="G31" s="200"/>
      <c r="H31" s="91"/>
    </row>
    <row r="32" spans="1:24" ht="18.75">
      <c r="A32" s="191"/>
      <c r="B32" s="98" t="s">
        <v>128</v>
      </c>
      <c r="C32" s="99" t="s">
        <v>1239</v>
      </c>
      <c r="D32" s="360">
        <f>ROUND('Alim CE Ricavi'!E12,)</f>
        <v>0</v>
      </c>
      <c r="E32" s="360">
        <f>ROUND('Alim CE Ricavi'!H12,)</f>
        <v>0</v>
      </c>
      <c r="F32" s="59"/>
      <c r="G32" s="200"/>
      <c r="H32" s="91"/>
    </row>
    <row r="33" spans="1:8" ht="18.75">
      <c r="A33" s="191"/>
      <c r="B33" s="98" t="s">
        <v>130</v>
      </c>
      <c r="C33" s="99" t="s">
        <v>1240</v>
      </c>
      <c r="D33" s="360">
        <f>+ROUND('Alim CE Ricavi'!E14,2)</f>
        <v>2781000</v>
      </c>
      <c r="E33" s="360">
        <f>+ROUND('Alim CE Ricavi'!H14,2)</f>
        <v>2781000</v>
      </c>
      <c r="F33" s="59"/>
      <c r="G33" s="200"/>
      <c r="H33" s="91"/>
    </row>
    <row r="34" spans="1:8" ht="25.5">
      <c r="A34" s="191"/>
      <c r="B34" s="96" t="s">
        <v>132</v>
      </c>
      <c r="C34" s="97" t="s">
        <v>1241</v>
      </c>
      <c r="D34" s="360">
        <f>ROUND('Alim CE Ricavi'!E16,2)</f>
        <v>0</v>
      </c>
      <c r="E34" s="360">
        <f>ROUND('Alim CE Ricavi'!H16,2)</f>
        <v>0</v>
      </c>
      <c r="F34" s="59"/>
      <c r="G34" s="200"/>
      <c r="H34" s="91"/>
    </row>
    <row r="35" spans="1:8" ht="25.5">
      <c r="A35" s="191"/>
      <c r="B35" s="121" t="s">
        <v>133</v>
      </c>
      <c r="C35" s="122" t="s">
        <v>1242</v>
      </c>
      <c r="D35" s="359">
        <f>ROUND('Alim CE Ricavi'!E18,2)</f>
        <v>0</v>
      </c>
      <c r="E35" s="359">
        <f>ROUND('Alim CE Ricavi'!H18,2)</f>
        <v>0</v>
      </c>
      <c r="F35" s="59"/>
      <c r="G35" s="200"/>
      <c r="H35" s="91"/>
    </row>
    <row r="36" spans="1:8" ht="18.75">
      <c r="A36" s="191"/>
      <c r="B36" s="112" t="s">
        <v>135</v>
      </c>
      <c r="C36" s="113" t="s">
        <v>1243</v>
      </c>
      <c r="D36" s="358">
        <f t="shared" ref="D36" si="8">+D37+D42+D45</f>
        <v>41527407.010000005</v>
      </c>
      <c r="E36" s="358">
        <f t="shared" ref="E36" si="9">+E37+E42+E45</f>
        <v>9065406.9900000002</v>
      </c>
      <c r="F36" s="59" t="s">
        <v>1835</v>
      </c>
      <c r="G36" s="200"/>
      <c r="H36" s="91"/>
    </row>
    <row r="37" spans="1:8" ht="18.75">
      <c r="A37" s="191"/>
      <c r="B37" s="121" t="s">
        <v>136</v>
      </c>
      <c r="C37" s="122" t="s">
        <v>1244</v>
      </c>
      <c r="D37" s="359">
        <f t="shared" ref="D37" si="10">+D38+D39+D40+D41</f>
        <v>40560988.990000002</v>
      </c>
      <c r="E37" s="359">
        <f t="shared" ref="E37" si="11">+E38+E39+E40+E41</f>
        <v>6726687.8399999999</v>
      </c>
      <c r="F37" s="59" t="s">
        <v>1835</v>
      </c>
      <c r="G37" s="200"/>
      <c r="H37" s="91"/>
    </row>
    <row r="38" spans="1:8" ht="25.5">
      <c r="A38" s="191"/>
      <c r="B38" s="96" t="s">
        <v>137</v>
      </c>
      <c r="C38" s="97" t="s">
        <v>1245</v>
      </c>
      <c r="D38" s="360">
        <f>ROUND(('Alim CE Ricavi'!E22+'Alim CE Ricavi'!E23+'Alim CE Ricavi'!E24+'Alim CE Ricavi'!E25+'Alim CE Ricavi'!E26+'Alim CE Ricavi'!E27),2)</f>
        <v>38785988.990000002</v>
      </c>
      <c r="E38" s="360">
        <f>ROUND(('Alim CE Ricavi'!H22+'Alim CE Ricavi'!H23+'Alim CE Ricavi'!H24+'Alim CE Ricavi'!H25+'Alim CE Ricavi'!H26+'Alim CE Ricavi'!H27),2)</f>
        <v>6726687.8399999999</v>
      </c>
      <c r="F38" s="59"/>
      <c r="G38" s="200"/>
      <c r="H38" s="91"/>
    </row>
    <row r="39" spans="1:8" ht="38.25">
      <c r="A39" s="191"/>
      <c r="B39" s="96" t="s">
        <v>144</v>
      </c>
      <c r="C39" s="97" t="s">
        <v>1836</v>
      </c>
      <c r="D39" s="360">
        <f>ROUND('Alim CE Ricavi'!E29,2)</f>
        <v>0</v>
      </c>
      <c r="E39" s="360">
        <f>ROUND('Alim CE Ricavi'!H29,2)</f>
        <v>0</v>
      </c>
      <c r="F39" s="59"/>
      <c r="G39" s="200"/>
      <c r="H39" s="91"/>
    </row>
    <row r="40" spans="1:8" ht="38.25">
      <c r="A40" s="191"/>
      <c r="B40" s="96" t="s">
        <v>145</v>
      </c>
      <c r="C40" s="97" t="s">
        <v>1837</v>
      </c>
      <c r="D40" s="360">
        <f>ROUND('Alim CE Ricavi'!E31,2)</f>
        <v>345000</v>
      </c>
      <c r="E40" s="360">
        <f>ROUND('Alim CE Ricavi'!H31,2)</f>
        <v>0</v>
      </c>
      <c r="F40" s="59"/>
      <c r="G40" s="200"/>
      <c r="H40" s="91"/>
    </row>
    <row r="41" spans="1:8" ht="25.5">
      <c r="A41" s="191"/>
      <c r="B41" s="96" t="s">
        <v>147</v>
      </c>
      <c r="C41" s="97" t="s">
        <v>1246</v>
      </c>
      <c r="D41" s="360">
        <f>ROUND('Alim CE Ricavi'!E33,2)</f>
        <v>1430000</v>
      </c>
      <c r="E41" s="360">
        <f>ROUND('Alim CE Ricavi'!H33,2)</f>
        <v>0</v>
      </c>
      <c r="F41" s="59"/>
      <c r="G41" s="200"/>
      <c r="H41" s="91"/>
    </row>
    <row r="42" spans="1:8" ht="25.5">
      <c r="A42" s="191"/>
      <c r="B42" s="121" t="s">
        <v>148</v>
      </c>
      <c r="C42" s="122" t="s">
        <v>1247</v>
      </c>
      <c r="D42" s="359">
        <f t="shared" ref="D42" si="12">+D43+D44</f>
        <v>0</v>
      </c>
      <c r="E42" s="359">
        <f t="shared" ref="E42" si="13">+E43+E44</f>
        <v>0</v>
      </c>
      <c r="F42" s="59" t="s">
        <v>1835</v>
      </c>
      <c r="G42" s="200"/>
      <c r="H42" s="91"/>
    </row>
    <row r="43" spans="1:8" ht="25.5">
      <c r="A43" s="191" t="s">
        <v>1248</v>
      </c>
      <c r="B43" s="96" t="s">
        <v>150</v>
      </c>
      <c r="C43" s="97" t="s">
        <v>1249</v>
      </c>
      <c r="D43" s="360">
        <f>ROUND('Alim CE Ricavi'!E36,2)</f>
        <v>0</v>
      </c>
      <c r="E43" s="360">
        <f>ROUND('Alim CE Ricavi'!H36,2)</f>
        <v>0</v>
      </c>
      <c r="F43" s="59"/>
      <c r="G43" s="200"/>
      <c r="H43" s="91"/>
    </row>
    <row r="44" spans="1:8" ht="25.5">
      <c r="A44" s="191" t="s">
        <v>1248</v>
      </c>
      <c r="B44" s="96" t="s">
        <v>152</v>
      </c>
      <c r="C44" s="97" t="s">
        <v>1250</v>
      </c>
      <c r="D44" s="360">
        <f>ROUND('Alim CE Ricavi'!E38,2)</f>
        <v>0</v>
      </c>
      <c r="E44" s="360">
        <f>ROUND('Alim CE Ricavi'!H38,2)</f>
        <v>0</v>
      </c>
      <c r="F44" s="59"/>
      <c r="G44" s="200"/>
      <c r="H44" s="91"/>
    </row>
    <row r="45" spans="1:8" ht="25.5">
      <c r="A45" s="193"/>
      <c r="B45" s="121" t="s">
        <v>153</v>
      </c>
      <c r="C45" s="122" t="s">
        <v>1251</v>
      </c>
      <c r="D45" s="359">
        <f t="shared" ref="D45" si="14">+D46+D47+D48+D49+D50</f>
        <v>966418.02</v>
      </c>
      <c r="E45" s="359">
        <f t="shared" ref="E45" si="15">+E46+E47+E48+E49+E50</f>
        <v>2338719.15</v>
      </c>
      <c r="F45" s="59" t="s">
        <v>1835</v>
      </c>
      <c r="G45" s="200"/>
      <c r="H45" s="91"/>
    </row>
    <row r="46" spans="1:8" ht="18.75">
      <c r="A46" s="193"/>
      <c r="B46" s="96" t="s">
        <v>155</v>
      </c>
      <c r="C46" s="97" t="s">
        <v>1252</v>
      </c>
      <c r="D46" s="360">
        <f>ROUND('Alim CE Ricavi'!E41,2)</f>
        <v>966418.02</v>
      </c>
      <c r="E46" s="360">
        <f>ROUND('Alim CE Ricavi'!H41,2)</f>
        <v>955315.95</v>
      </c>
      <c r="F46" s="303"/>
      <c r="G46" s="200"/>
      <c r="H46" s="91"/>
    </row>
    <row r="47" spans="1:8" ht="25.5">
      <c r="A47" s="193"/>
      <c r="B47" s="96" t="s">
        <v>156</v>
      </c>
      <c r="C47" s="97" t="s">
        <v>1253</v>
      </c>
      <c r="D47" s="360">
        <f>ROUND(('Alim CE Ricavi'!E43+'Alim CE Ricavi'!E44+'Alim CE Ricavi'!E45+'Alim CE Ricavi'!E46+'Alim CE Ricavi'!E47+'Alim CE Ricavi'!E48),2)</f>
        <v>0</v>
      </c>
      <c r="E47" s="360">
        <f>ROUND(('Alim CE Ricavi'!H43+'Alim CE Ricavi'!H44+'Alim CE Ricavi'!H45+'Alim CE Ricavi'!H46+'Alim CE Ricavi'!H47+'Alim CE Ricavi'!H48),2)</f>
        <v>1383403.2</v>
      </c>
      <c r="F47" s="303"/>
      <c r="G47" s="200"/>
      <c r="H47" s="91"/>
    </row>
    <row r="48" spans="1:8" ht="25.5">
      <c r="A48" s="193"/>
      <c r="B48" s="96" t="s">
        <v>164</v>
      </c>
      <c r="C48" s="97" t="s">
        <v>1254</v>
      </c>
      <c r="D48" s="360">
        <f>ROUND('Alim CE Ricavi'!E50,2)</f>
        <v>0</v>
      </c>
      <c r="E48" s="360">
        <f>ROUND('Alim CE Ricavi'!H50,2)</f>
        <v>0</v>
      </c>
      <c r="F48" s="303"/>
      <c r="G48" s="200"/>
      <c r="H48" s="91"/>
    </row>
    <row r="49" spans="1:8" ht="25.5">
      <c r="A49" s="193"/>
      <c r="B49" s="96" t="s">
        <v>166</v>
      </c>
      <c r="C49" s="97" t="s">
        <v>1255</v>
      </c>
      <c r="D49" s="360">
        <f>ROUND('Alim CE Ricavi'!E52,2)</f>
        <v>0</v>
      </c>
      <c r="E49" s="360">
        <f>ROUND('Alim CE Ricavi'!H52,2)</f>
        <v>0</v>
      </c>
      <c r="F49" s="303"/>
      <c r="G49" s="200"/>
      <c r="H49" s="91"/>
    </row>
    <row r="50" spans="1:8" ht="51">
      <c r="A50" s="193"/>
      <c r="B50" s="96" t="s">
        <v>168</v>
      </c>
      <c r="C50" s="97" t="s">
        <v>1256</v>
      </c>
      <c r="D50" s="360">
        <f>ROUND('Alim CE Ricavi'!E54,2)</f>
        <v>0</v>
      </c>
      <c r="E50" s="360">
        <f>ROUND('Alim CE Ricavi'!H54,2)</f>
        <v>0</v>
      </c>
      <c r="F50" s="303"/>
      <c r="G50" s="200"/>
      <c r="H50" s="91"/>
    </row>
    <row r="51" spans="1:8" ht="18.75">
      <c r="A51" s="191"/>
      <c r="B51" s="112" t="s">
        <v>169</v>
      </c>
      <c r="C51" s="113" t="s">
        <v>1257</v>
      </c>
      <c r="D51" s="358">
        <f t="shared" ref="D51" si="16">+D52+D53+D54+D55</f>
        <v>0</v>
      </c>
      <c r="E51" s="358">
        <f t="shared" ref="E51" si="17">+E52+E53+E54+E55</f>
        <v>0</v>
      </c>
      <c r="F51" s="59" t="s">
        <v>1835</v>
      </c>
      <c r="G51" s="200"/>
      <c r="H51" s="91"/>
    </row>
    <row r="52" spans="1:8" ht="25.5">
      <c r="A52" s="191"/>
      <c r="B52" s="94" t="s">
        <v>171</v>
      </c>
      <c r="C52" s="95" t="s">
        <v>1258</v>
      </c>
      <c r="D52" s="360">
        <f>ROUND('Alim CE Ricavi'!E57,2)</f>
        <v>0</v>
      </c>
      <c r="E52" s="360">
        <f>ROUND('Alim CE Ricavi'!H57,2)</f>
        <v>0</v>
      </c>
      <c r="F52" s="59"/>
      <c r="G52" s="200"/>
      <c r="H52" s="91"/>
    </row>
    <row r="53" spans="1:8" ht="25.5">
      <c r="A53" s="191"/>
      <c r="B53" s="94" t="s">
        <v>173</v>
      </c>
      <c r="C53" s="95" t="s">
        <v>1259</v>
      </c>
      <c r="D53" s="360">
        <f>ROUND('Alim CE Ricavi'!E59,2)</f>
        <v>0</v>
      </c>
      <c r="E53" s="360">
        <f>ROUND('Alim CE Ricavi'!H59,2)</f>
        <v>0</v>
      </c>
      <c r="F53" s="59"/>
      <c r="G53" s="200"/>
      <c r="H53" s="91"/>
    </row>
    <row r="54" spans="1:8" ht="25.5">
      <c r="A54" s="191"/>
      <c r="B54" s="94" t="s">
        <v>174</v>
      </c>
      <c r="C54" s="95" t="s">
        <v>1260</v>
      </c>
      <c r="D54" s="360">
        <f>ROUND(('Alim CE Ricavi'!E61+'Alim CE Ricavi'!E62),2)</f>
        <v>0</v>
      </c>
      <c r="E54" s="360">
        <f>ROUND(('Alim CE Ricavi'!H61+'Alim CE Ricavi'!H62),2)</f>
        <v>0</v>
      </c>
      <c r="F54" s="59"/>
      <c r="G54" s="200"/>
      <c r="H54" s="91"/>
    </row>
    <row r="55" spans="1:8" ht="18.75">
      <c r="A55" s="191"/>
      <c r="B55" s="94" t="s">
        <v>178</v>
      </c>
      <c r="C55" s="95" t="s">
        <v>1261</v>
      </c>
      <c r="D55" s="360">
        <f>ROUND('Alim CE Ricavi'!E64,2)</f>
        <v>0</v>
      </c>
      <c r="E55" s="360">
        <f>ROUND('Alim CE Ricavi'!H64,2)</f>
        <v>0</v>
      </c>
      <c r="F55" s="59"/>
      <c r="G55" s="200"/>
      <c r="H55" s="91"/>
    </row>
    <row r="56" spans="1:8" ht="18.75">
      <c r="A56" s="191"/>
      <c r="B56" s="112" t="s">
        <v>180</v>
      </c>
      <c r="C56" s="113" t="s">
        <v>1262</v>
      </c>
      <c r="D56" s="358">
        <f>ROUND('Alim CE Ricavi'!E66,2)</f>
        <v>0</v>
      </c>
      <c r="E56" s="358">
        <f>ROUND('Alim CE Ricavi'!H66,2)</f>
        <v>0</v>
      </c>
      <c r="F56" s="59"/>
      <c r="G56" s="200"/>
      <c r="H56" s="91"/>
    </row>
    <row r="57" spans="1:8" ht="25.5">
      <c r="A57" s="191"/>
      <c r="B57" s="117" t="s">
        <v>181</v>
      </c>
      <c r="C57" s="118" t="s">
        <v>1263</v>
      </c>
      <c r="D57" s="357">
        <f t="shared" ref="D57" si="18">+D58+D59</f>
        <v>0</v>
      </c>
      <c r="E57" s="357">
        <f t="shared" ref="E57" si="19">+E58+E59</f>
        <v>0</v>
      </c>
      <c r="F57" s="59" t="s">
        <v>1835</v>
      </c>
      <c r="G57" s="200"/>
      <c r="H57" s="91"/>
    </row>
    <row r="58" spans="1:8" ht="38.25">
      <c r="A58" s="191"/>
      <c r="B58" s="92" t="s">
        <v>183</v>
      </c>
      <c r="C58" s="93" t="s">
        <v>1264</v>
      </c>
      <c r="D58" s="360">
        <f>ROUND('Alim CE Ricavi'!E69,2)</f>
        <v>0</v>
      </c>
      <c r="E58" s="360">
        <f>ROUND('Alim CE Ricavi'!H69,2)</f>
        <v>0</v>
      </c>
      <c r="F58" s="59"/>
      <c r="G58" s="200"/>
      <c r="H58" s="91"/>
    </row>
    <row r="59" spans="1:8" ht="25.5">
      <c r="A59" s="191"/>
      <c r="B59" s="92" t="s">
        <v>185</v>
      </c>
      <c r="C59" s="93" t="s">
        <v>1265</v>
      </c>
      <c r="D59" s="360">
        <f>ROUND('Alim CE Ricavi'!E71,2)</f>
        <v>0</v>
      </c>
      <c r="E59" s="360">
        <f>ROUND('Alim CE Ricavi'!H71,2)</f>
        <v>0</v>
      </c>
      <c r="F59" s="59"/>
      <c r="G59" s="200"/>
      <c r="H59" s="91"/>
    </row>
    <row r="60" spans="1:8" ht="25.5">
      <c r="A60" s="193"/>
      <c r="B60" s="117" t="s">
        <v>186</v>
      </c>
      <c r="C60" s="118" t="s">
        <v>1266</v>
      </c>
      <c r="D60" s="357">
        <f t="shared" ref="D60" si="20">+D61+D62+D63+D64+D65</f>
        <v>14270040.73</v>
      </c>
      <c r="E60" s="357">
        <f t="shared" ref="E60" si="21">+E61+E62+E63+E64+E65</f>
        <v>714601.74</v>
      </c>
      <c r="F60" s="59" t="s">
        <v>1835</v>
      </c>
      <c r="G60" s="200"/>
      <c r="H60" s="91"/>
    </row>
    <row r="61" spans="1:8" ht="38.25">
      <c r="A61" s="193"/>
      <c r="B61" s="92" t="s">
        <v>188</v>
      </c>
      <c r="C61" s="93" t="s">
        <v>1267</v>
      </c>
      <c r="D61" s="360">
        <f>ROUND('Alim CE Ricavi'!E74,2)</f>
        <v>13336758.57</v>
      </c>
      <c r="E61" s="360">
        <f>ROUND('Alim CE Ricavi'!H74,2)</f>
        <v>677835.75</v>
      </c>
      <c r="F61" s="303"/>
      <c r="G61" s="200"/>
      <c r="H61" s="91"/>
    </row>
    <row r="62" spans="1:8" ht="38.25">
      <c r="A62" s="193"/>
      <c r="B62" s="92" t="s">
        <v>190</v>
      </c>
      <c r="C62" s="93" t="s">
        <v>1268</v>
      </c>
      <c r="D62" s="360">
        <f>ROUND('Alim CE Ricavi'!E76,2)</f>
        <v>0</v>
      </c>
      <c r="E62" s="360">
        <f>ROUND('Alim CE Ricavi'!H76,2)</f>
        <v>0</v>
      </c>
      <c r="F62" s="303"/>
      <c r="G62" s="200"/>
      <c r="H62" s="91"/>
    </row>
    <row r="63" spans="1:8" ht="38.25">
      <c r="A63" s="193"/>
      <c r="B63" s="92" t="s">
        <v>192</v>
      </c>
      <c r="C63" s="93" t="s">
        <v>1269</v>
      </c>
      <c r="D63" s="360">
        <f>ROUND('Alim CE Ricavi'!E78,2)</f>
        <v>933282.16</v>
      </c>
      <c r="E63" s="360">
        <f>ROUND('Alim CE Ricavi'!H78,2)</f>
        <v>36765.99</v>
      </c>
      <c r="F63" s="303"/>
      <c r="G63" s="200"/>
      <c r="H63" s="91"/>
    </row>
    <row r="64" spans="1:8" ht="25.5">
      <c r="A64" s="193"/>
      <c r="B64" s="92" t="s">
        <v>194</v>
      </c>
      <c r="C64" s="93" t="s">
        <v>1270</v>
      </c>
      <c r="D64" s="360">
        <f>ROUND('Alim CE Ricavi'!E80,2)</f>
        <v>0</v>
      </c>
      <c r="E64" s="360">
        <f>ROUND('Alim CE Ricavi'!H80,2)</f>
        <v>0</v>
      </c>
      <c r="F64" s="303"/>
      <c r="G64" s="200"/>
      <c r="H64" s="91"/>
    </row>
    <row r="65" spans="1:8" ht="25.5">
      <c r="A65" s="193"/>
      <c r="B65" s="92" t="s">
        <v>196</v>
      </c>
      <c r="C65" s="93" t="s">
        <v>1271</v>
      </c>
      <c r="D65" s="360">
        <f>ROUND('Alim CE Ricavi'!E82,2)</f>
        <v>0</v>
      </c>
      <c r="E65" s="360">
        <f>ROUND('Alim CE Ricavi'!H82,2)</f>
        <v>0</v>
      </c>
      <c r="F65" s="303"/>
      <c r="G65" s="200"/>
      <c r="H65" s="91"/>
    </row>
    <row r="66" spans="1:8" ht="25.5">
      <c r="A66" s="191"/>
      <c r="B66" s="117" t="s">
        <v>1272</v>
      </c>
      <c r="C66" s="118" t="s">
        <v>1273</v>
      </c>
      <c r="D66" s="357">
        <f t="shared" ref="D66" si="22">+D67+D106+D112+D113</f>
        <v>230806</v>
      </c>
      <c r="E66" s="357">
        <f t="shared" ref="E66" si="23">+E67+E106+E112+E113</f>
        <v>234093.42</v>
      </c>
      <c r="F66" s="59" t="s">
        <v>1835</v>
      </c>
      <c r="G66" s="200"/>
      <c r="H66" s="91"/>
    </row>
    <row r="67" spans="1:8" ht="38.25">
      <c r="A67" s="191"/>
      <c r="B67" s="112" t="s">
        <v>197</v>
      </c>
      <c r="C67" s="113" t="s">
        <v>1274</v>
      </c>
      <c r="D67" s="358">
        <f t="shared" ref="D67" si="24">+D68+D84+D85</f>
        <v>7006</v>
      </c>
      <c r="E67" s="358">
        <f t="shared" ref="E67" si="25">+E68+E84+E85</f>
        <v>11492.42</v>
      </c>
      <c r="F67" s="59" t="s">
        <v>1835</v>
      </c>
      <c r="G67" s="200"/>
      <c r="H67" s="91"/>
    </row>
    <row r="68" spans="1:8" ht="38.25">
      <c r="A68" s="191" t="s">
        <v>1248</v>
      </c>
      <c r="B68" s="121" t="s">
        <v>198</v>
      </c>
      <c r="C68" s="122" t="s">
        <v>1275</v>
      </c>
      <c r="D68" s="359">
        <f t="shared" ref="D68" si="26">SUM(D69:D83)</f>
        <v>0</v>
      </c>
      <c r="E68" s="359">
        <f t="shared" ref="E68" si="27">SUM(E69:E83)</f>
        <v>599.41999999999996</v>
      </c>
      <c r="F68" s="59" t="s">
        <v>1835</v>
      </c>
      <c r="G68" s="200"/>
      <c r="H68" s="91"/>
    </row>
    <row r="69" spans="1:8" ht="18.75">
      <c r="A69" s="191" t="s">
        <v>1248</v>
      </c>
      <c r="B69" s="96" t="s">
        <v>200</v>
      </c>
      <c r="C69" s="97" t="s">
        <v>1276</v>
      </c>
      <c r="D69" s="360">
        <f>ROUND(('Alim CE Ricavi'!E87+'Alim CE Ricavi'!E88),2)</f>
        <v>0</v>
      </c>
      <c r="E69" s="360">
        <f>ROUND(('Alim CE Ricavi'!H87+'Alim CE Ricavi'!H88),2)</f>
        <v>0</v>
      </c>
      <c r="F69" s="59"/>
      <c r="G69" s="200"/>
      <c r="H69" s="91"/>
    </row>
    <row r="70" spans="1:8" ht="18.75">
      <c r="A70" s="193" t="s">
        <v>1248</v>
      </c>
      <c r="B70" s="96" t="s">
        <v>202</v>
      </c>
      <c r="C70" s="97" t="s">
        <v>1277</v>
      </c>
      <c r="D70" s="360">
        <f>ROUND(('Alim CE Ricavi'!E90+'Alim CE Ricavi'!E91),2)</f>
        <v>0</v>
      </c>
      <c r="E70" s="360">
        <f>ROUND(('Alim CE Ricavi'!H90+'Alim CE Ricavi'!H91),2)</f>
        <v>0</v>
      </c>
      <c r="F70" s="303"/>
      <c r="G70" s="200"/>
      <c r="H70" s="91"/>
    </row>
    <row r="71" spans="1:8" ht="25.5">
      <c r="A71" s="193" t="s">
        <v>1248</v>
      </c>
      <c r="B71" s="96" t="s">
        <v>204</v>
      </c>
      <c r="C71" s="97" t="s">
        <v>1278</v>
      </c>
      <c r="D71" s="360">
        <f>ROUND('Alim CE Ricavi'!E93,2)</f>
        <v>0</v>
      </c>
      <c r="E71" s="360">
        <f>ROUND('Alim CE Ricavi'!H93,2)</f>
        <v>0</v>
      </c>
      <c r="F71" s="303"/>
      <c r="G71" s="200"/>
      <c r="H71" s="91"/>
    </row>
    <row r="72" spans="1:8" ht="25.5">
      <c r="A72" s="193" t="s">
        <v>1248</v>
      </c>
      <c r="B72" s="96" t="s">
        <v>205</v>
      </c>
      <c r="C72" s="97" t="s">
        <v>1279</v>
      </c>
      <c r="D72" s="360">
        <f>ROUND('Alim CE Ricavi'!E95,2)</f>
        <v>0</v>
      </c>
      <c r="E72" s="360">
        <f>ROUND('Alim CE Ricavi'!H95,2)</f>
        <v>0</v>
      </c>
      <c r="F72" s="303"/>
      <c r="G72" s="200"/>
      <c r="H72" s="91"/>
    </row>
    <row r="73" spans="1:8" ht="18.75">
      <c r="A73" s="193" t="s">
        <v>1248</v>
      </c>
      <c r="B73" s="96" t="s">
        <v>206</v>
      </c>
      <c r="C73" s="97" t="s">
        <v>1280</v>
      </c>
      <c r="D73" s="360">
        <f>ROUND('Alim CE Ricavi'!E97,2)</f>
        <v>0</v>
      </c>
      <c r="E73" s="360">
        <f>ROUND('Alim CE Ricavi'!H97,2)</f>
        <v>0</v>
      </c>
      <c r="F73" s="303"/>
      <c r="G73" s="200"/>
      <c r="H73" s="91"/>
    </row>
    <row r="74" spans="1:8" ht="25.5">
      <c r="A74" s="193" t="s">
        <v>1248</v>
      </c>
      <c r="B74" s="96" t="s">
        <v>207</v>
      </c>
      <c r="C74" s="97" t="s">
        <v>1281</v>
      </c>
      <c r="D74" s="360">
        <f>ROUND('Alim CE Ricavi'!E99,2)</f>
        <v>0</v>
      </c>
      <c r="E74" s="360">
        <f>ROUND('Alim CE Ricavi'!H99,2)</f>
        <v>0</v>
      </c>
      <c r="F74" s="303"/>
      <c r="G74" s="200"/>
      <c r="H74" s="91"/>
    </row>
    <row r="75" spans="1:8" ht="18.75">
      <c r="A75" s="193" t="s">
        <v>1248</v>
      </c>
      <c r="B75" s="96" t="s">
        <v>208</v>
      </c>
      <c r="C75" s="97" t="s">
        <v>1282</v>
      </c>
      <c r="D75" s="360">
        <f>ROUND('Alim CE Ricavi'!E101,2)</f>
        <v>0</v>
      </c>
      <c r="E75" s="360">
        <f>ROUND('Alim CE Ricavi'!H101,2)</f>
        <v>0</v>
      </c>
      <c r="F75" s="303"/>
      <c r="G75" s="200"/>
      <c r="H75" s="91"/>
    </row>
    <row r="76" spans="1:8" ht="18.75">
      <c r="A76" s="193" t="s">
        <v>1248</v>
      </c>
      <c r="B76" s="96" t="s">
        <v>209</v>
      </c>
      <c r="C76" s="97" t="s">
        <v>1283</v>
      </c>
      <c r="D76" s="360">
        <f>ROUND('Alim CE Ricavi'!E103,2)</f>
        <v>0</v>
      </c>
      <c r="E76" s="360">
        <f>ROUND('Alim CE Ricavi'!H103,2)</f>
        <v>0</v>
      </c>
      <c r="F76" s="303"/>
      <c r="G76" s="200"/>
      <c r="H76" s="91"/>
    </row>
    <row r="77" spans="1:8" ht="18.75">
      <c r="A77" s="193" t="s">
        <v>1248</v>
      </c>
      <c r="B77" s="96" t="s">
        <v>210</v>
      </c>
      <c r="C77" s="97" t="s">
        <v>1284</v>
      </c>
      <c r="D77" s="360">
        <f>ROUND('Alim CE Ricavi'!E105,2)</f>
        <v>0</v>
      </c>
      <c r="E77" s="360">
        <f>ROUND('Alim CE Ricavi'!H105,2)</f>
        <v>0</v>
      </c>
      <c r="F77" s="303"/>
      <c r="G77" s="200"/>
      <c r="H77" s="91"/>
    </row>
    <row r="78" spans="1:8" ht="18.75">
      <c r="A78" s="193" t="s">
        <v>1248</v>
      </c>
      <c r="B78" s="96" t="s">
        <v>211</v>
      </c>
      <c r="C78" s="97" t="s">
        <v>1285</v>
      </c>
      <c r="D78" s="360">
        <f>ROUND('Alim CE Ricavi'!E107,2)</f>
        <v>0</v>
      </c>
      <c r="E78" s="360">
        <f>ROUND('Alim CE Ricavi'!H107,2)</f>
        <v>0</v>
      </c>
      <c r="F78" s="303"/>
      <c r="G78" s="200"/>
      <c r="H78" s="91"/>
    </row>
    <row r="79" spans="1:8" ht="18.75">
      <c r="A79" s="193" t="s">
        <v>1248</v>
      </c>
      <c r="B79" s="96" t="s">
        <v>212</v>
      </c>
      <c r="C79" s="97" t="s">
        <v>1286</v>
      </c>
      <c r="D79" s="360">
        <f>ROUND('Alim CE Ricavi'!E109,2)</f>
        <v>0</v>
      </c>
      <c r="E79" s="360">
        <f>ROUND('Alim CE Ricavi'!H109,2)</f>
        <v>0</v>
      </c>
      <c r="F79" s="304"/>
      <c r="G79" s="200"/>
      <c r="H79" s="91"/>
    </row>
    <row r="80" spans="1:8" ht="25.5">
      <c r="A80" s="191" t="s">
        <v>1248</v>
      </c>
      <c r="B80" s="96" t="s">
        <v>213</v>
      </c>
      <c r="C80" s="97" t="s">
        <v>1287</v>
      </c>
      <c r="D80" s="360">
        <f>ROUND('Alim CE Ricavi'!E111,2)</f>
        <v>0</v>
      </c>
      <c r="E80" s="360">
        <f>ROUND('Alim CE Ricavi'!H111,2)</f>
        <v>0</v>
      </c>
      <c r="F80" s="304"/>
      <c r="G80" s="200"/>
      <c r="H80" s="91"/>
    </row>
    <row r="81" spans="1:8" ht="25.5">
      <c r="A81" s="191" t="s">
        <v>1248</v>
      </c>
      <c r="B81" s="96" t="s">
        <v>214</v>
      </c>
      <c r="C81" s="97" t="s">
        <v>1288</v>
      </c>
      <c r="D81" s="360">
        <f>ROUND('Alim CE Ricavi'!E113,2)</f>
        <v>0</v>
      </c>
      <c r="E81" s="360">
        <f>ROUND('Alim CE Ricavi'!H113,2)</f>
        <v>0</v>
      </c>
      <c r="F81" s="304"/>
      <c r="G81" s="200"/>
      <c r="H81" s="91"/>
    </row>
    <row r="82" spans="1:8" ht="25.5">
      <c r="A82" s="191" t="s">
        <v>1248</v>
      </c>
      <c r="B82" s="96" t="s">
        <v>215</v>
      </c>
      <c r="C82" s="97" t="s">
        <v>1289</v>
      </c>
      <c r="D82" s="360">
        <f>ROUND('Alim CE Ricavi'!E115,2)</f>
        <v>0</v>
      </c>
      <c r="E82" s="360">
        <f>ROUND('Alim CE Ricavi'!H115,2)</f>
        <v>0</v>
      </c>
      <c r="F82" s="304"/>
      <c r="G82" s="200"/>
      <c r="H82" s="91"/>
    </row>
    <row r="83" spans="1:8" ht="25.5">
      <c r="A83" s="191" t="s">
        <v>1248</v>
      </c>
      <c r="B83" s="96" t="s">
        <v>216</v>
      </c>
      <c r="C83" s="97" t="s">
        <v>1290</v>
      </c>
      <c r="D83" s="360">
        <f>ROUND(('Alim CE Ricavi'!E117+'Alim CE Ricavi'!E118),2)</f>
        <v>0</v>
      </c>
      <c r="E83" s="360">
        <f>ROUND(('Alim CE Ricavi'!H117+'Alim CE Ricavi'!H118),2)</f>
        <v>599.41999999999996</v>
      </c>
      <c r="F83" s="304"/>
      <c r="G83" s="200"/>
      <c r="H83" s="91"/>
    </row>
    <row r="84" spans="1:8" ht="25.5">
      <c r="A84" s="191"/>
      <c r="B84" s="94" t="s">
        <v>218</v>
      </c>
      <c r="C84" s="95" t="s">
        <v>1291</v>
      </c>
      <c r="D84" s="360">
        <f>ROUND('Alim CE Ricavi'!E120,2)</f>
        <v>7006</v>
      </c>
      <c r="E84" s="360">
        <f>ROUND('Alim CE Ricavi'!H120,2)</f>
        <v>10893</v>
      </c>
      <c r="F84" s="59"/>
      <c r="G84" s="200"/>
      <c r="H84" s="91"/>
    </row>
    <row r="85" spans="1:8" ht="25.5">
      <c r="A85" s="191"/>
      <c r="B85" s="121" t="s">
        <v>219</v>
      </c>
      <c r="C85" s="122" t="s">
        <v>1292</v>
      </c>
      <c r="D85" s="359">
        <f t="shared" ref="D85" si="28">SUM(D86:D100,D103,D104,D105)</f>
        <v>0</v>
      </c>
      <c r="E85" s="359">
        <f t="shared" ref="E85" si="29">SUM(E86:E100,E103,E104,E105)</f>
        <v>0</v>
      </c>
      <c r="F85" s="59" t="s">
        <v>1835</v>
      </c>
      <c r="G85" s="200"/>
      <c r="H85" s="91"/>
    </row>
    <row r="86" spans="1:8" ht="18.75">
      <c r="A86" s="191" t="s">
        <v>1293</v>
      </c>
      <c r="B86" s="96" t="s">
        <v>220</v>
      </c>
      <c r="C86" s="97" t="s">
        <v>1294</v>
      </c>
      <c r="D86" s="360">
        <f>ROUND('Alim CE Ricavi'!E123,2)</f>
        <v>0</v>
      </c>
      <c r="E86" s="360">
        <f>ROUND('Alim CE Ricavi'!H123,2)</f>
        <v>0</v>
      </c>
      <c r="F86" s="59"/>
      <c r="G86" s="200"/>
      <c r="H86" s="91"/>
    </row>
    <row r="87" spans="1:8" ht="18.75">
      <c r="A87" s="191" t="s">
        <v>1293</v>
      </c>
      <c r="B87" s="96" t="s">
        <v>223</v>
      </c>
      <c r="C87" s="97" t="s">
        <v>1295</v>
      </c>
      <c r="D87" s="360">
        <f>ROUND('Alim CE Ricavi'!E125,2)</f>
        <v>0</v>
      </c>
      <c r="E87" s="360">
        <f>ROUND('Alim CE Ricavi'!H125,2)</f>
        <v>0</v>
      </c>
      <c r="F87" s="59"/>
      <c r="G87" s="200"/>
      <c r="H87" s="91"/>
    </row>
    <row r="88" spans="1:8" ht="25.5">
      <c r="A88" s="191" t="s">
        <v>1293</v>
      </c>
      <c r="B88" s="96" t="s">
        <v>225</v>
      </c>
      <c r="C88" s="97" t="s">
        <v>1296</v>
      </c>
      <c r="D88" s="360">
        <f>ROUND('Alim CE Ricavi'!E127,2)</f>
        <v>0</v>
      </c>
      <c r="E88" s="360">
        <f>ROUND('Alim CE Ricavi'!H127,2)</f>
        <v>0</v>
      </c>
      <c r="F88" s="303"/>
      <c r="G88" s="200"/>
      <c r="H88" s="91"/>
    </row>
    <row r="89" spans="1:8" ht="25.5">
      <c r="A89" s="193" t="s">
        <v>1297</v>
      </c>
      <c r="B89" s="96" t="s">
        <v>226</v>
      </c>
      <c r="C89" s="97" t="s">
        <v>1298</v>
      </c>
      <c r="D89" s="360">
        <f>ROUND('Alim CE Ricavi'!E129,2)</f>
        <v>0</v>
      </c>
      <c r="E89" s="360">
        <f>ROUND('Alim CE Ricavi'!H129,2)</f>
        <v>0</v>
      </c>
      <c r="F89" s="303"/>
      <c r="G89" s="200"/>
      <c r="H89" s="91"/>
    </row>
    <row r="90" spans="1:8" ht="18.75">
      <c r="A90" s="193" t="s">
        <v>1293</v>
      </c>
      <c r="B90" s="96" t="s">
        <v>227</v>
      </c>
      <c r="C90" s="97" t="s">
        <v>1299</v>
      </c>
      <c r="D90" s="360">
        <f>ROUND('Alim CE Ricavi'!E131,2)</f>
        <v>0</v>
      </c>
      <c r="E90" s="360">
        <f>ROUND('Alim CE Ricavi'!H131,2)</f>
        <v>0</v>
      </c>
      <c r="F90" s="59"/>
      <c r="G90" s="200"/>
      <c r="H90" s="91"/>
    </row>
    <row r="91" spans="1:8" ht="25.5">
      <c r="A91" s="193" t="s">
        <v>1293</v>
      </c>
      <c r="B91" s="96" t="s">
        <v>229</v>
      </c>
      <c r="C91" s="97" t="s">
        <v>1300</v>
      </c>
      <c r="D91" s="360">
        <f>ROUND('Alim CE Ricavi'!E133,2)</f>
        <v>0</v>
      </c>
      <c r="E91" s="360">
        <f>ROUND('Alim CE Ricavi'!H133,2)</f>
        <v>0</v>
      </c>
      <c r="F91" s="303"/>
      <c r="G91" s="200"/>
      <c r="H91" s="91"/>
    </row>
    <row r="92" spans="1:8" ht="25.5">
      <c r="A92" s="193" t="s">
        <v>1293</v>
      </c>
      <c r="B92" s="96" t="s">
        <v>231</v>
      </c>
      <c r="C92" s="97" t="s">
        <v>1301</v>
      </c>
      <c r="D92" s="360">
        <f>ROUND('Alim CE Ricavi'!E135,2)</f>
        <v>0</v>
      </c>
      <c r="E92" s="360">
        <f>ROUND('Alim CE Ricavi'!H135,2)</f>
        <v>0</v>
      </c>
      <c r="F92" s="303"/>
      <c r="G92" s="200"/>
      <c r="H92" s="91"/>
    </row>
    <row r="93" spans="1:8" ht="18.75">
      <c r="A93" s="193" t="s">
        <v>1293</v>
      </c>
      <c r="B93" s="96" t="s">
        <v>233</v>
      </c>
      <c r="C93" s="97" t="s">
        <v>1302</v>
      </c>
      <c r="D93" s="360">
        <f>ROUND('Alim CE Ricavi'!E137,2)</f>
        <v>0</v>
      </c>
      <c r="E93" s="360">
        <f>ROUND('Alim CE Ricavi'!H137,2)</f>
        <v>0</v>
      </c>
      <c r="F93" s="303"/>
      <c r="G93" s="200"/>
      <c r="H93" s="91"/>
    </row>
    <row r="94" spans="1:8" ht="25.5">
      <c r="A94" s="193" t="s">
        <v>1293</v>
      </c>
      <c r="B94" s="96" t="s">
        <v>235</v>
      </c>
      <c r="C94" s="97" t="s">
        <v>1303</v>
      </c>
      <c r="D94" s="360">
        <f>ROUND('Alim CE Ricavi'!E139,2)</f>
        <v>0</v>
      </c>
      <c r="E94" s="360">
        <f>ROUND('Alim CE Ricavi'!H139,2)</f>
        <v>0</v>
      </c>
      <c r="F94" s="303"/>
      <c r="G94" s="200"/>
      <c r="H94" s="91"/>
    </row>
    <row r="95" spans="1:8" ht="25.5">
      <c r="A95" s="193" t="s">
        <v>1297</v>
      </c>
      <c r="B95" s="96" t="s">
        <v>237</v>
      </c>
      <c r="C95" s="97" t="s">
        <v>1304</v>
      </c>
      <c r="D95" s="360">
        <f>ROUND('Alim CE Ricavi'!E141,2)</f>
        <v>0</v>
      </c>
      <c r="E95" s="360">
        <f>ROUND('Alim CE Ricavi'!H141,2)</f>
        <v>0</v>
      </c>
      <c r="F95" s="303"/>
      <c r="G95" s="200"/>
      <c r="H95" s="91"/>
    </row>
    <row r="96" spans="1:8" ht="25.5">
      <c r="A96" s="193" t="s">
        <v>1297</v>
      </c>
      <c r="B96" s="96" t="s">
        <v>239</v>
      </c>
      <c r="C96" s="97" t="s">
        <v>1305</v>
      </c>
      <c r="D96" s="360">
        <f>ROUND('Alim CE Ricavi'!E143,2)</f>
        <v>0</v>
      </c>
      <c r="E96" s="360">
        <f>ROUND('Alim CE Ricavi'!H143,2)</f>
        <v>0</v>
      </c>
      <c r="F96" s="303"/>
      <c r="G96" s="200"/>
      <c r="H96" s="91"/>
    </row>
    <row r="97" spans="1:8" ht="25.5">
      <c r="A97" s="193" t="s">
        <v>1293</v>
      </c>
      <c r="B97" s="96" t="s">
        <v>241</v>
      </c>
      <c r="C97" s="97" t="s">
        <v>1306</v>
      </c>
      <c r="D97" s="360">
        <f>ROUND('Alim CE Ricavi'!E145,2)</f>
        <v>0</v>
      </c>
      <c r="E97" s="360">
        <f>ROUND('Alim CE Ricavi'!H145,2)</f>
        <v>0</v>
      </c>
      <c r="F97" s="303"/>
      <c r="G97" s="200"/>
      <c r="H97" s="91"/>
    </row>
    <row r="98" spans="1:8" ht="25.5">
      <c r="A98" s="193" t="s">
        <v>1293</v>
      </c>
      <c r="B98" s="96" t="s">
        <v>242</v>
      </c>
      <c r="C98" s="97" t="s">
        <v>1307</v>
      </c>
      <c r="D98" s="360">
        <f>ROUND('Alim CE Ricavi'!E147,2)</f>
        <v>0</v>
      </c>
      <c r="E98" s="360">
        <f>ROUND('Alim CE Ricavi'!H147,2)</f>
        <v>0</v>
      </c>
      <c r="F98" s="303"/>
      <c r="G98" s="200"/>
      <c r="H98" s="91"/>
    </row>
    <row r="99" spans="1:8" ht="25.5">
      <c r="A99" s="193" t="s">
        <v>1293</v>
      </c>
      <c r="B99" s="96" t="s">
        <v>245</v>
      </c>
      <c r="C99" s="97" t="s">
        <v>1308</v>
      </c>
      <c r="D99" s="360">
        <f>ROUND('Alim CE Ricavi'!E149,2)</f>
        <v>0</v>
      </c>
      <c r="E99" s="360">
        <f>ROUND('Alim CE Ricavi'!H149,2)</f>
        <v>0</v>
      </c>
      <c r="F99" s="303"/>
      <c r="G99" s="200"/>
      <c r="H99" s="91"/>
    </row>
    <row r="100" spans="1:8" ht="38.25">
      <c r="A100" s="193" t="s">
        <v>1297</v>
      </c>
      <c r="B100" s="123" t="s">
        <v>246</v>
      </c>
      <c r="C100" s="124" t="s">
        <v>1309</v>
      </c>
      <c r="D100" s="361">
        <f t="shared" ref="D100" si="30">+D101+D102</f>
        <v>0</v>
      </c>
      <c r="E100" s="361">
        <f t="shared" ref="E100" si="31">+E101+E102</f>
        <v>0</v>
      </c>
      <c r="F100" s="59" t="s">
        <v>1835</v>
      </c>
      <c r="G100" s="200"/>
      <c r="H100" s="91"/>
    </row>
    <row r="101" spans="1:8" ht="25.5">
      <c r="A101" s="193" t="s">
        <v>1297</v>
      </c>
      <c r="B101" s="94" t="s">
        <v>248</v>
      </c>
      <c r="C101" s="95" t="s">
        <v>1310</v>
      </c>
      <c r="D101" s="360">
        <f>ROUND('Alim CE Ricavi'!E152,2)</f>
        <v>0</v>
      </c>
      <c r="E101" s="360">
        <f>ROUND('Alim CE Ricavi'!H152,2)</f>
        <v>0</v>
      </c>
      <c r="F101" s="303"/>
      <c r="G101" s="200"/>
      <c r="H101" s="91"/>
    </row>
    <row r="102" spans="1:8" ht="38.25">
      <c r="A102" s="193" t="s">
        <v>1297</v>
      </c>
      <c r="B102" s="94" t="s">
        <v>250</v>
      </c>
      <c r="C102" s="95" t="s">
        <v>1311</v>
      </c>
      <c r="D102" s="360">
        <f>ROUND(('Alim CE Ricavi'!E154+'Alim CE Ricavi'!E155+'Alim CE Ricavi'!E156+'Alim CE Ricavi'!E157),2)</f>
        <v>0</v>
      </c>
      <c r="E102" s="360">
        <f>ROUND(('Alim CE Ricavi'!H154+'Alim CE Ricavi'!H155+'Alim CE Ricavi'!H156+'Alim CE Ricavi'!H157),2)</f>
        <v>0</v>
      </c>
      <c r="F102" s="303"/>
      <c r="G102" s="200"/>
      <c r="H102" s="91"/>
    </row>
    <row r="103" spans="1:8" ht="25.5">
      <c r="A103" s="193"/>
      <c r="B103" s="96" t="s">
        <v>252</v>
      </c>
      <c r="C103" s="97" t="s">
        <v>1312</v>
      </c>
      <c r="D103" s="360">
        <f>ROUND('Alim CE Ricavi'!E159,2)</f>
        <v>0</v>
      </c>
      <c r="E103" s="360">
        <f>ROUND('Alim CE Ricavi'!H159,2)</f>
        <v>0</v>
      </c>
      <c r="F103" s="303"/>
      <c r="G103" s="200"/>
      <c r="H103" s="91"/>
    </row>
    <row r="104" spans="1:8" ht="25.5">
      <c r="A104" s="191" t="s">
        <v>1248</v>
      </c>
      <c r="B104" s="96" t="s">
        <v>254</v>
      </c>
      <c r="C104" s="97" t="s">
        <v>1313</v>
      </c>
      <c r="D104" s="360">
        <f>ROUND('Alim CE Ricavi'!E161,2)</f>
        <v>0</v>
      </c>
      <c r="E104" s="360">
        <f>ROUND('Alim CE Ricavi'!H161,2)</f>
        <v>0</v>
      </c>
      <c r="F104" s="303"/>
      <c r="G104" s="200"/>
      <c r="H104" s="91"/>
    </row>
    <row r="105" spans="1:8" ht="38.25">
      <c r="A105" s="191" t="s">
        <v>1297</v>
      </c>
      <c r="B105" s="96" t="s">
        <v>256</v>
      </c>
      <c r="C105" s="97" t="s">
        <v>1314</v>
      </c>
      <c r="D105" s="360">
        <f>ROUND('Alim CE Ricavi'!E163,2)</f>
        <v>0</v>
      </c>
      <c r="E105" s="360">
        <f>ROUND('Alim CE Ricavi'!H163,2)</f>
        <v>0</v>
      </c>
      <c r="F105" s="303"/>
      <c r="G105" s="200"/>
      <c r="H105" s="91"/>
    </row>
    <row r="106" spans="1:8" ht="51">
      <c r="A106" s="194" t="s">
        <v>1293</v>
      </c>
      <c r="B106" s="112" t="s">
        <v>257</v>
      </c>
      <c r="C106" s="113" t="s">
        <v>1315</v>
      </c>
      <c r="D106" s="358">
        <f t="shared" ref="D106" si="32">SUM(D107:D111)</f>
        <v>0</v>
      </c>
      <c r="E106" s="358">
        <f t="shared" ref="E106" si="33">SUM(E107:E111)</f>
        <v>0</v>
      </c>
      <c r="F106" s="59" t="s">
        <v>1835</v>
      </c>
      <c r="G106" s="200"/>
      <c r="H106" s="91"/>
    </row>
    <row r="107" spans="1:8" ht="25.5">
      <c r="A107" s="193" t="s">
        <v>1293</v>
      </c>
      <c r="B107" s="96" t="s">
        <v>259</v>
      </c>
      <c r="C107" s="97" t="s">
        <v>1316</v>
      </c>
      <c r="D107" s="360">
        <f>ROUND('Alim CE Ricavi'!E166,2)</f>
        <v>0</v>
      </c>
      <c r="E107" s="360">
        <f>ROUND('Alim CE Ricavi'!H166,2)</f>
        <v>0</v>
      </c>
      <c r="F107" s="303"/>
      <c r="G107" s="200"/>
      <c r="H107" s="91"/>
    </row>
    <row r="108" spans="1:8" ht="25.5">
      <c r="A108" s="193" t="s">
        <v>1293</v>
      </c>
      <c r="B108" s="94" t="s">
        <v>261</v>
      </c>
      <c r="C108" s="95" t="s">
        <v>1317</v>
      </c>
      <c r="D108" s="360">
        <f>ROUND('Alim CE Ricavi'!E168,2)</f>
        <v>0</v>
      </c>
      <c r="E108" s="360">
        <f>ROUND('Alim CE Ricavi'!H168,2)</f>
        <v>0</v>
      </c>
      <c r="F108" s="303"/>
      <c r="G108" s="200"/>
      <c r="H108" s="91"/>
    </row>
    <row r="109" spans="1:8" ht="38.25">
      <c r="A109" s="193" t="s">
        <v>1293</v>
      </c>
      <c r="B109" s="94" t="s">
        <v>262</v>
      </c>
      <c r="C109" s="95" t="s">
        <v>1318</v>
      </c>
      <c r="D109" s="360">
        <f>ROUND('Alim CE Ricavi'!E170,2)</f>
        <v>0</v>
      </c>
      <c r="E109" s="360">
        <f>ROUND('Alim CE Ricavi'!H170,2)</f>
        <v>0</v>
      </c>
      <c r="F109" s="303"/>
      <c r="G109" s="200"/>
      <c r="H109" s="91"/>
    </row>
    <row r="110" spans="1:8" ht="25.5">
      <c r="A110" s="191" t="s">
        <v>1293</v>
      </c>
      <c r="B110" s="94" t="s">
        <v>264</v>
      </c>
      <c r="C110" s="95" t="s">
        <v>1319</v>
      </c>
      <c r="D110" s="360">
        <f>ROUND('Alim CE Ricavi'!E172,2)</f>
        <v>0</v>
      </c>
      <c r="E110" s="360">
        <f>ROUND('Alim CE Ricavi'!H172,2)</f>
        <v>0</v>
      </c>
      <c r="F110" s="303"/>
      <c r="G110" s="200"/>
      <c r="H110" s="91"/>
    </row>
    <row r="111" spans="1:8" ht="38.25">
      <c r="A111" s="191" t="s">
        <v>1293</v>
      </c>
      <c r="B111" s="94" t="s">
        <v>266</v>
      </c>
      <c r="C111" s="95" t="s">
        <v>1320</v>
      </c>
      <c r="D111" s="360">
        <f>ROUND('Alim CE Ricavi'!E174,2)</f>
        <v>0</v>
      </c>
      <c r="E111" s="360">
        <f>ROUND('Alim CE Ricavi'!H174,2)</f>
        <v>0</v>
      </c>
      <c r="F111" s="303"/>
      <c r="G111" s="200"/>
      <c r="H111" s="91"/>
    </row>
    <row r="112" spans="1:8" ht="25.5">
      <c r="A112" s="191"/>
      <c r="B112" s="112" t="s">
        <v>267</v>
      </c>
      <c r="C112" s="113" t="s">
        <v>1321</v>
      </c>
      <c r="D112" s="358">
        <f>+ROUND(SUM('Alim CE Ricavi'!E177:E211),2)</f>
        <v>223800</v>
      </c>
      <c r="E112" s="358">
        <f>+ROUND(SUM('Alim CE Ricavi'!H177:H211),2)</f>
        <v>222601</v>
      </c>
      <c r="F112" s="59"/>
      <c r="G112" s="200"/>
      <c r="H112" s="91"/>
    </row>
    <row r="113" spans="1:8" ht="25.5">
      <c r="A113" s="191"/>
      <c r="B113" s="112" t="s">
        <v>1322</v>
      </c>
      <c r="C113" s="113" t="s">
        <v>1323</v>
      </c>
      <c r="D113" s="358">
        <f t="shared" ref="D113" si="34">SUM(D114:D120)</f>
        <v>0</v>
      </c>
      <c r="E113" s="358">
        <f t="shared" ref="E113" si="35">SUM(E114:E120)</f>
        <v>0</v>
      </c>
      <c r="F113" s="59" t="s">
        <v>1835</v>
      </c>
      <c r="G113" s="200"/>
      <c r="H113" s="91"/>
    </row>
    <row r="114" spans="1:8" ht="25.5">
      <c r="A114" s="191"/>
      <c r="B114" s="94" t="s">
        <v>302</v>
      </c>
      <c r="C114" s="95" t="s">
        <v>1324</v>
      </c>
      <c r="D114" s="360">
        <f>ROUND('Alim CE Ricavi'!E214,2)</f>
        <v>0</v>
      </c>
      <c r="E114" s="360">
        <f>ROUND('Alim CE Ricavi'!H214,2)</f>
        <v>0</v>
      </c>
      <c r="F114" s="59"/>
      <c r="G114" s="200"/>
      <c r="H114" s="91"/>
    </row>
    <row r="115" spans="1:8" ht="25.5">
      <c r="A115" s="191"/>
      <c r="B115" s="94" t="s">
        <v>304</v>
      </c>
      <c r="C115" s="95" t="s">
        <v>1325</v>
      </c>
      <c r="D115" s="360">
        <f>ROUND('Alim CE Ricavi'!E216,2)</f>
        <v>0</v>
      </c>
      <c r="E115" s="360">
        <f>ROUND('Alim CE Ricavi'!H216,2)</f>
        <v>0</v>
      </c>
      <c r="F115" s="59"/>
      <c r="G115" s="200"/>
      <c r="H115" s="91"/>
    </row>
    <row r="116" spans="1:8" ht="25.5">
      <c r="A116" s="191"/>
      <c r="B116" s="94" t="s">
        <v>306</v>
      </c>
      <c r="C116" s="95" t="s">
        <v>1326</v>
      </c>
      <c r="D116" s="360">
        <f>ROUND('Alim CE Ricavi'!E218,2)</f>
        <v>0</v>
      </c>
      <c r="E116" s="360">
        <f>ROUND('Alim CE Ricavi'!H218,2)</f>
        <v>0</v>
      </c>
      <c r="F116" s="59"/>
      <c r="G116" s="200"/>
      <c r="H116" s="91"/>
    </row>
    <row r="117" spans="1:8" ht="25.5">
      <c r="A117" s="191"/>
      <c r="B117" s="94" t="s">
        <v>308</v>
      </c>
      <c r="C117" s="95" t="s">
        <v>1327</v>
      </c>
      <c r="D117" s="360">
        <f>ROUND('Alim CE Ricavi'!E220,2)</f>
        <v>0</v>
      </c>
      <c r="E117" s="360">
        <f>ROUND('Alim CE Ricavi'!H220,2)</f>
        <v>0</v>
      </c>
      <c r="F117" s="59"/>
      <c r="G117" s="200"/>
      <c r="H117" s="91"/>
    </row>
    <row r="118" spans="1:8" ht="38.25">
      <c r="A118" s="191" t="s">
        <v>1248</v>
      </c>
      <c r="B118" s="94" t="s">
        <v>310</v>
      </c>
      <c r="C118" s="95" t="s">
        <v>1328</v>
      </c>
      <c r="D118" s="360">
        <f>ROUND('Alim CE Ricavi'!E222,2)</f>
        <v>0</v>
      </c>
      <c r="E118" s="360">
        <f>ROUND('Alim CE Ricavi'!H222,2)</f>
        <v>0</v>
      </c>
      <c r="F118" s="59"/>
      <c r="G118" s="200"/>
      <c r="H118" s="91"/>
    </row>
    <row r="119" spans="1:8" ht="18.75">
      <c r="A119" s="191"/>
      <c r="B119" s="94" t="s">
        <v>312</v>
      </c>
      <c r="C119" s="95" t="s">
        <v>1329</v>
      </c>
      <c r="D119" s="360">
        <f>ROUND('Alim CE Ricavi'!E224,2)</f>
        <v>0</v>
      </c>
      <c r="E119" s="360">
        <f>ROUND('Alim CE Ricavi'!H224,2)</f>
        <v>0</v>
      </c>
      <c r="F119" s="59"/>
      <c r="G119" s="200"/>
      <c r="H119" s="91"/>
    </row>
    <row r="120" spans="1:8" ht="25.5">
      <c r="A120" s="191" t="s">
        <v>1248</v>
      </c>
      <c r="B120" s="94" t="s">
        <v>314</v>
      </c>
      <c r="C120" s="95" t="s">
        <v>1330</v>
      </c>
      <c r="D120" s="360">
        <f>ROUND('Alim CE Ricavi'!E226,2)</f>
        <v>0</v>
      </c>
      <c r="E120" s="360">
        <f>ROUND('Alim CE Ricavi'!H226,2)</f>
        <v>0</v>
      </c>
      <c r="F120" s="59"/>
      <c r="G120" s="200"/>
      <c r="H120" s="91"/>
    </row>
    <row r="121" spans="1:8" ht="18.75">
      <c r="A121" s="191"/>
      <c r="B121" s="117" t="s">
        <v>1331</v>
      </c>
      <c r="C121" s="118" t="s">
        <v>1332</v>
      </c>
      <c r="D121" s="357">
        <f t="shared" ref="D121" si="36">+D122+D123+D126+D131+D135</f>
        <v>479411522.32000005</v>
      </c>
      <c r="E121" s="357">
        <f t="shared" ref="E121" si="37">+E122+E123+E126+E131+E135</f>
        <v>443414176.61999989</v>
      </c>
      <c r="F121" s="59"/>
      <c r="G121" s="200"/>
      <c r="H121" s="91"/>
    </row>
    <row r="122" spans="1:8" ht="18.75">
      <c r="A122" s="191"/>
      <c r="B122" s="92" t="s">
        <v>316</v>
      </c>
      <c r="C122" s="93" t="s">
        <v>1333</v>
      </c>
      <c r="D122" s="360">
        <f>ROUND('Alim CE Ricavi'!E229,2)</f>
        <v>193021.49</v>
      </c>
      <c r="E122" s="360">
        <f>ROUND('Alim CE Ricavi'!H229,2)</f>
        <v>1106.94</v>
      </c>
      <c r="F122" s="59"/>
      <c r="G122" s="200"/>
      <c r="H122" s="91"/>
    </row>
    <row r="123" spans="1:8" ht="18.75">
      <c r="A123" s="195"/>
      <c r="B123" s="112" t="s">
        <v>1334</v>
      </c>
      <c r="C123" s="113" t="s">
        <v>1335</v>
      </c>
      <c r="D123" s="358">
        <f t="shared" ref="D123" si="38">+D124+D125</f>
        <v>0</v>
      </c>
      <c r="E123" s="358">
        <f t="shared" ref="E123" si="39">+E124+E125</f>
        <v>0</v>
      </c>
      <c r="F123" s="59" t="s">
        <v>1835</v>
      </c>
      <c r="G123" s="200"/>
      <c r="H123" s="91"/>
    </row>
    <row r="124" spans="1:8" ht="25.5">
      <c r="A124" s="195"/>
      <c r="B124" s="94" t="s">
        <v>318</v>
      </c>
      <c r="C124" s="95" t="s">
        <v>1336</v>
      </c>
      <c r="D124" s="360">
        <f>ROUND('Alim CE Ricavi'!E232,2)</f>
        <v>0</v>
      </c>
      <c r="E124" s="360">
        <f>ROUND('Alim CE Ricavi'!H232,2)</f>
        <v>0</v>
      </c>
      <c r="F124" s="59"/>
      <c r="G124" s="200"/>
      <c r="H124" s="91"/>
    </row>
    <row r="125" spans="1:8" ht="25.5">
      <c r="A125" s="195"/>
      <c r="B125" s="94" t="s">
        <v>320</v>
      </c>
      <c r="C125" s="95" t="s">
        <v>1337</v>
      </c>
      <c r="D125" s="360">
        <f>ROUND('Alim CE Ricavi'!E234,2)</f>
        <v>0</v>
      </c>
      <c r="E125" s="360">
        <f>ROUND('Alim CE Ricavi'!H234,2)</f>
        <v>0</v>
      </c>
      <c r="F125" s="59"/>
      <c r="G125" s="200"/>
      <c r="H125" s="91"/>
    </row>
    <row r="126" spans="1:8" ht="25.5">
      <c r="A126" s="194" t="s">
        <v>1248</v>
      </c>
      <c r="B126" s="112" t="s">
        <v>1338</v>
      </c>
      <c r="C126" s="113" t="s">
        <v>1339</v>
      </c>
      <c r="D126" s="358">
        <f t="shared" ref="D126" si="40">+D127+D128+D129+D130</f>
        <v>477669573.88999999</v>
      </c>
      <c r="E126" s="358">
        <f t="shared" ref="E126" si="41">+E127+E128+E129+E130</f>
        <v>441537521.61999995</v>
      </c>
      <c r="F126" s="59" t="s">
        <v>1835</v>
      </c>
      <c r="G126" s="200"/>
      <c r="H126" s="91"/>
    </row>
    <row r="127" spans="1:8" ht="38.25">
      <c r="A127" s="191" t="s">
        <v>1248</v>
      </c>
      <c r="B127" s="94" t="s">
        <v>322</v>
      </c>
      <c r="C127" s="95" t="s">
        <v>1340</v>
      </c>
      <c r="D127" s="360">
        <f>ROUND('Alim CE Ricavi'!E237,2)</f>
        <v>0</v>
      </c>
      <c r="E127" s="360">
        <f>ROUND('Alim CE Ricavi'!H237,2)</f>
        <v>45358.65</v>
      </c>
      <c r="F127" s="59"/>
      <c r="G127" s="200"/>
      <c r="H127" s="91"/>
    </row>
    <row r="128" spans="1:8" ht="25.5">
      <c r="A128" s="191" t="s">
        <v>1248</v>
      </c>
      <c r="B128" s="94" t="s">
        <v>324</v>
      </c>
      <c r="C128" s="95" t="s">
        <v>1341</v>
      </c>
      <c r="D128" s="360">
        <f>ROUND('Alim CE Ricavi'!E239,2)</f>
        <v>464729659.75</v>
      </c>
      <c r="E128" s="360">
        <f>ROUND('Alim CE Ricavi'!H239,2)</f>
        <v>431217548.94999999</v>
      </c>
      <c r="F128" s="59"/>
      <c r="G128" s="200"/>
      <c r="H128" s="91"/>
    </row>
    <row r="129" spans="1:8" ht="25.5">
      <c r="A129" s="191" t="s">
        <v>1248</v>
      </c>
      <c r="B129" s="94" t="s">
        <v>325</v>
      </c>
      <c r="C129" s="95" t="s">
        <v>1342</v>
      </c>
      <c r="D129" s="360">
        <f>ROUND(('Alim CE Ricavi'!E241+'Alim CE Ricavi'!E242+'Alim CE Ricavi'!E243),2)</f>
        <v>12939914.140000001</v>
      </c>
      <c r="E129" s="360">
        <f>ROUND(('Alim CE Ricavi'!H241+'Alim CE Ricavi'!H242+'Alim CE Ricavi'!H243),2)</f>
        <v>10274614.02</v>
      </c>
      <c r="F129" s="59"/>
      <c r="G129" s="200"/>
      <c r="H129" s="91"/>
    </row>
    <row r="130" spans="1:8" ht="25.5">
      <c r="A130" s="191" t="s">
        <v>1248</v>
      </c>
      <c r="B130" s="94" t="s">
        <v>327</v>
      </c>
      <c r="C130" s="95" t="s">
        <v>1343</v>
      </c>
      <c r="D130" s="360">
        <f>ROUND('Alim CE Ricavi'!E245,2)</f>
        <v>0</v>
      </c>
      <c r="E130" s="360">
        <f>ROUND('Alim CE Ricavi'!H245,2)</f>
        <v>0</v>
      </c>
      <c r="F130" s="59"/>
      <c r="G130" s="200"/>
      <c r="H130" s="91"/>
    </row>
    <row r="131" spans="1:8" ht="25.5">
      <c r="A131" s="191"/>
      <c r="B131" s="112" t="s">
        <v>328</v>
      </c>
      <c r="C131" s="113" t="s">
        <v>1344</v>
      </c>
      <c r="D131" s="358">
        <f t="shared" ref="D131" si="42">+D132+D133+D134</f>
        <v>582868.97</v>
      </c>
      <c r="E131" s="358">
        <f t="shared" ref="E131" si="43">+E132+E133+E134</f>
        <v>681165.27999999991</v>
      </c>
      <c r="F131" s="59" t="s">
        <v>1835</v>
      </c>
      <c r="G131" s="200"/>
      <c r="H131" s="91"/>
    </row>
    <row r="132" spans="1:8" ht="38.25">
      <c r="A132" s="191"/>
      <c r="B132" s="94" t="s">
        <v>330</v>
      </c>
      <c r="C132" s="95" t="s">
        <v>1345</v>
      </c>
      <c r="D132" s="360">
        <f>ROUND('Alim CE Ricavi'!E248,2)</f>
        <v>233122.02</v>
      </c>
      <c r="E132" s="360">
        <f>ROUND('Alim CE Ricavi'!H248,2)</f>
        <v>257537.95</v>
      </c>
      <c r="F132" s="59"/>
      <c r="G132" s="200"/>
      <c r="H132" s="91"/>
    </row>
    <row r="133" spans="1:8" ht="25.5">
      <c r="A133" s="191"/>
      <c r="B133" s="94" t="s">
        <v>332</v>
      </c>
      <c r="C133" s="95" t="s">
        <v>1346</v>
      </c>
      <c r="D133" s="360">
        <f>ROUND('Alim CE Ricavi'!E250,2)</f>
        <v>339043.63</v>
      </c>
      <c r="E133" s="360">
        <f>ROUND('Alim CE Ricavi'!H250,2)</f>
        <v>420908.24</v>
      </c>
      <c r="F133" s="59"/>
      <c r="G133" s="200"/>
      <c r="H133" s="91"/>
    </row>
    <row r="134" spans="1:8" ht="25.5">
      <c r="A134" s="191"/>
      <c r="B134" s="94" t="s">
        <v>334</v>
      </c>
      <c r="C134" s="95" t="s">
        <v>1347</v>
      </c>
      <c r="D134" s="360">
        <f>+ROUND(SUM('Alim CE Ricavi'!E252:E257),2)</f>
        <v>10703.32</v>
      </c>
      <c r="E134" s="360">
        <f>+ROUND(SUM('Alim CE Ricavi'!H252:H257),2)</f>
        <v>2719.09</v>
      </c>
      <c r="F134" s="59"/>
      <c r="G134" s="200"/>
      <c r="H134" s="91"/>
    </row>
    <row r="135" spans="1:8" ht="18.75">
      <c r="A135" s="191"/>
      <c r="B135" s="112" t="s">
        <v>340</v>
      </c>
      <c r="C135" s="113" t="s">
        <v>1348</v>
      </c>
      <c r="D135" s="358">
        <f t="shared" ref="D135" si="44">+D136+D140+D141</f>
        <v>966057.97</v>
      </c>
      <c r="E135" s="358">
        <f t="shared" ref="E135" si="45">+E136+E140+E141</f>
        <v>1194382.78</v>
      </c>
      <c r="F135" s="59" t="s">
        <v>1835</v>
      </c>
      <c r="G135" s="200"/>
      <c r="H135" s="91"/>
    </row>
    <row r="136" spans="1:8" ht="18.75">
      <c r="A136" s="191"/>
      <c r="B136" s="125" t="s">
        <v>341</v>
      </c>
      <c r="C136" s="126" t="s">
        <v>1349</v>
      </c>
      <c r="D136" s="362">
        <f t="shared" ref="D136" si="46">+D137+D138+D139</f>
        <v>0</v>
      </c>
      <c r="E136" s="362">
        <f t="shared" ref="E136" si="47">+E137+E138+E139</f>
        <v>0</v>
      </c>
      <c r="F136" s="59" t="s">
        <v>1835</v>
      </c>
      <c r="G136" s="201"/>
      <c r="H136" s="91"/>
    </row>
    <row r="137" spans="1:8" ht="25.5">
      <c r="A137" s="191"/>
      <c r="B137" s="96" t="s">
        <v>343</v>
      </c>
      <c r="C137" s="97" t="s">
        <v>1350</v>
      </c>
      <c r="D137" s="360">
        <f>ROUND('Alim CE Ricavi'!E261,2)</f>
        <v>0</v>
      </c>
      <c r="E137" s="360">
        <f>ROUND('Alim CE Ricavi'!H261,2)</f>
        <v>0</v>
      </c>
      <c r="F137" s="59"/>
      <c r="G137" s="200"/>
      <c r="H137" s="91"/>
    </row>
    <row r="138" spans="1:8" ht="25.5">
      <c r="A138" s="191"/>
      <c r="B138" s="96" t="s">
        <v>345</v>
      </c>
      <c r="C138" s="97" t="s">
        <v>1351</v>
      </c>
      <c r="D138" s="360">
        <f>ROUND('Alim CE Ricavi'!E263,2)</f>
        <v>0</v>
      </c>
      <c r="E138" s="360">
        <f>ROUND('Alim CE Ricavi'!H263,2)</f>
        <v>0</v>
      </c>
      <c r="F138" s="59"/>
      <c r="G138" s="200"/>
      <c r="H138" s="91"/>
    </row>
    <row r="139" spans="1:8" ht="18.75">
      <c r="A139" s="191"/>
      <c r="B139" s="96" t="s">
        <v>347</v>
      </c>
      <c r="C139" s="97" t="s">
        <v>1352</v>
      </c>
      <c r="D139" s="360">
        <f>ROUND('Alim CE Ricavi'!E265,2)</f>
        <v>0</v>
      </c>
      <c r="E139" s="360">
        <f>ROUND('Alim CE Ricavi'!H265,2)</f>
        <v>0</v>
      </c>
      <c r="F139" s="59"/>
      <c r="G139" s="200"/>
      <c r="H139" s="91"/>
    </row>
    <row r="140" spans="1:8" ht="18.75">
      <c r="A140" s="193"/>
      <c r="B140" s="94" t="s">
        <v>349</v>
      </c>
      <c r="C140" s="95" t="s">
        <v>1353</v>
      </c>
      <c r="D140" s="360">
        <f>ROUND('Alim CE Ricavi'!E267,2)</f>
        <v>0</v>
      </c>
      <c r="E140" s="360">
        <f>ROUND('Alim CE Ricavi'!H267,2)</f>
        <v>0</v>
      </c>
      <c r="F140" s="303"/>
      <c r="G140" s="200"/>
      <c r="H140" s="91"/>
    </row>
    <row r="141" spans="1:8" ht="18.75">
      <c r="A141" s="193"/>
      <c r="B141" s="94" t="s">
        <v>351</v>
      </c>
      <c r="C141" s="95" t="s">
        <v>1354</v>
      </c>
      <c r="D141" s="360">
        <f>+ROUND(SUM('Alim CE Ricavi'!E269:E281),2)</f>
        <v>966057.97</v>
      </c>
      <c r="E141" s="360">
        <f>+ROUND(SUM('Alim CE Ricavi'!H269:H281),2)</f>
        <v>1194382.78</v>
      </c>
      <c r="F141" s="303"/>
      <c r="G141" s="200"/>
      <c r="H141" s="91"/>
    </row>
    <row r="142" spans="1:8" ht="25.5">
      <c r="A142" s="193"/>
      <c r="B142" s="117" t="s">
        <v>364</v>
      </c>
      <c r="C142" s="118" t="s">
        <v>1355</v>
      </c>
      <c r="D142" s="357">
        <f t="shared" ref="D142" si="48">+D143+D144+D145</f>
        <v>0</v>
      </c>
      <c r="E142" s="357">
        <f t="shared" ref="E142" si="49">+E143+E144+E145</f>
        <v>0</v>
      </c>
      <c r="F142" s="59" t="s">
        <v>1835</v>
      </c>
      <c r="G142" s="200"/>
      <c r="H142" s="91"/>
    </row>
    <row r="143" spans="1:8" ht="38.25">
      <c r="A143" s="193"/>
      <c r="B143" s="92" t="s">
        <v>365</v>
      </c>
      <c r="C143" s="93" t="s">
        <v>1356</v>
      </c>
      <c r="D143" s="360">
        <f>ROUND('Alim CE Ricavi'!E284,2)</f>
        <v>0</v>
      </c>
      <c r="E143" s="360">
        <f>ROUND('Alim CE Ricavi'!H284,2)</f>
        <v>0</v>
      </c>
      <c r="F143" s="303"/>
      <c r="G143" s="200"/>
      <c r="H143" s="91"/>
    </row>
    <row r="144" spans="1:8" ht="25.5">
      <c r="A144" s="191"/>
      <c r="B144" s="92" t="s">
        <v>367</v>
      </c>
      <c r="C144" s="93" t="s">
        <v>1357</v>
      </c>
      <c r="D144" s="360">
        <f>ROUND('Alim CE Ricavi'!E286,2)</f>
        <v>0</v>
      </c>
      <c r="E144" s="360">
        <f>ROUND('Alim CE Ricavi'!H286,2)</f>
        <v>0</v>
      </c>
      <c r="F144" s="59"/>
      <c r="G144" s="200"/>
      <c r="H144" s="91"/>
    </row>
    <row r="145" spans="1:8" ht="25.5">
      <c r="A145" s="191"/>
      <c r="B145" s="92" t="s">
        <v>369</v>
      </c>
      <c r="C145" s="93" t="s">
        <v>1358</v>
      </c>
      <c r="D145" s="360">
        <f>ROUND('Alim CE Ricavi'!E288,2)</f>
        <v>0</v>
      </c>
      <c r="E145" s="360">
        <f>ROUND('Alim CE Ricavi'!H288,2)</f>
        <v>0</v>
      </c>
      <c r="F145" s="59"/>
      <c r="G145" s="200"/>
      <c r="H145" s="91"/>
    </row>
    <row r="146" spans="1:8" ht="25.5">
      <c r="A146" s="191"/>
      <c r="B146" s="117" t="s">
        <v>370</v>
      </c>
      <c r="C146" s="118" t="s">
        <v>1359</v>
      </c>
      <c r="D146" s="357">
        <f t="shared" ref="D146" si="50">+D147+D148+D149+D150+D151+D152</f>
        <v>186482.77</v>
      </c>
      <c r="E146" s="357">
        <f t="shared" ref="E146" si="51">+E147+E148+E149+E150+E151+E152</f>
        <v>162903.45000000001</v>
      </c>
      <c r="F146" s="59" t="s">
        <v>1835</v>
      </c>
      <c r="G146" s="200"/>
      <c r="H146" s="91"/>
    </row>
    <row r="147" spans="1:8" ht="25.5">
      <c r="A147" s="191"/>
      <c r="B147" s="92" t="s">
        <v>372</v>
      </c>
      <c r="C147" s="93" t="s">
        <v>1360</v>
      </c>
      <c r="D147" s="360">
        <f>ROUND('Alim CE Ricavi'!E291,2)</f>
        <v>0</v>
      </c>
      <c r="E147" s="360">
        <f>ROUND('Alim CE Ricavi'!H291,2)</f>
        <v>0</v>
      </c>
      <c r="F147" s="59"/>
      <c r="G147" s="200"/>
      <c r="H147" s="91"/>
    </row>
    <row r="148" spans="1:8" ht="25.5">
      <c r="A148" s="191"/>
      <c r="B148" s="92" t="s">
        <v>374</v>
      </c>
      <c r="C148" s="93" t="s">
        <v>1361</v>
      </c>
      <c r="D148" s="360">
        <f>ROUND('Alim CE Ricavi'!E293,2)</f>
        <v>186482.77</v>
      </c>
      <c r="E148" s="360">
        <f>ROUND('Alim CE Ricavi'!H293,2)</f>
        <v>162903.45000000001</v>
      </c>
      <c r="F148" s="59"/>
      <c r="G148" s="200"/>
      <c r="H148" s="91"/>
    </row>
    <row r="149" spans="1:8" ht="25.5">
      <c r="A149" s="191"/>
      <c r="B149" s="92" t="s">
        <v>376</v>
      </c>
      <c r="C149" s="93" t="s">
        <v>1362</v>
      </c>
      <c r="D149" s="360">
        <f>ROUND('Alim CE Ricavi'!E295,2)</f>
        <v>0</v>
      </c>
      <c r="E149" s="360">
        <f>ROUND('Alim CE Ricavi'!H295,2)</f>
        <v>0</v>
      </c>
      <c r="F149" s="59"/>
      <c r="G149" s="200"/>
      <c r="H149" s="91"/>
    </row>
    <row r="150" spans="1:8" ht="25.5">
      <c r="A150" s="191"/>
      <c r="B150" s="92" t="s">
        <v>378</v>
      </c>
      <c r="C150" s="93" t="s">
        <v>1363</v>
      </c>
      <c r="D150" s="360">
        <f>ROUND('Alim CE Ricavi'!E297,2)</f>
        <v>0</v>
      </c>
      <c r="E150" s="360">
        <f>ROUND('Alim CE Ricavi'!H297,2)</f>
        <v>0</v>
      </c>
      <c r="F150" s="59"/>
      <c r="G150" s="200"/>
      <c r="H150" s="91"/>
    </row>
    <row r="151" spans="1:8" ht="25.5">
      <c r="A151" s="191"/>
      <c r="B151" s="92" t="s">
        <v>380</v>
      </c>
      <c r="C151" s="93" t="s">
        <v>1364</v>
      </c>
      <c r="D151" s="360">
        <f>ROUND('Alim CE Ricavi'!E299,2)</f>
        <v>0</v>
      </c>
      <c r="E151" s="360">
        <f>ROUND('Alim CE Ricavi'!H299,2)</f>
        <v>0</v>
      </c>
      <c r="F151" s="59"/>
      <c r="G151" s="200"/>
      <c r="H151" s="91"/>
    </row>
    <row r="152" spans="1:8" ht="25.5">
      <c r="A152" s="191"/>
      <c r="B152" s="92" t="s">
        <v>382</v>
      </c>
      <c r="C152" s="93" t="s">
        <v>1365</v>
      </c>
      <c r="D152" s="360">
        <f>ROUND('Alim CE Ricavi'!E301,2)</f>
        <v>0</v>
      </c>
      <c r="E152" s="360">
        <f>ROUND('Alim CE Ricavi'!H301,2)</f>
        <v>0</v>
      </c>
      <c r="F152" s="59"/>
      <c r="G152" s="200"/>
      <c r="H152" s="91"/>
    </row>
    <row r="153" spans="1:8" ht="25.5">
      <c r="A153" s="191"/>
      <c r="B153" s="117" t="s">
        <v>383</v>
      </c>
      <c r="C153" s="118" t="s">
        <v>1366</v>
      </c>
      <c r="D153" s="357">
        <f>ROUND('Alim CE Ricavi'!E303,2)</f>
        <v>0</v>
      </c>
      <c r="E153" s="357">
        <f>ROUND('Alim CE Ricavi'!H303,2)</f>
        <v>0</v>
      </c>
      <c r="F153" s="59"/>
      <c r="G153" s="200"/>
      <c r="H153" s="91"/>
    </row>
    <row r="154" spans="1:8" ht="18.75">
      <c r="A154" s="191"/>
      <c r="B154" s="117" t="s">
        <v>384</v>
      </c>
      <c r="C154" s="118" t="s">
        <v>1367</v>
      </c>
      <c r="D154" s="357">
        <f t="shared" ref="D154" si="52">+D155+D156+D157</f>
        <v>7500</v>
      </c>
      <c r="E154" s="357">
        <f t="shared" ref="E154" si="53">+E155+E156+E157</f>
        <v>9190.73</v>
      </c>
      <c r="F154" s="59" t="s">
        <v>1835</v>
      </c>
      <c r="G154" s="200"/>
      <c r="H154" s="91"/>
    </row>
    <row r="155" spans="1:8" ht="18.75">
      <c r="A155" s="191"/>
      <c r="B155" s="92" t="s">
        <v>385</v>
      </c>
      <c r="C155" s="93" t="s">
        <v>1368</v>
      </c>
      <c r="D155" s="360">
        <f>ROUND(('Alim CE Ricavi'!E306+'Alim CE Ricavi'!E307+'Alim CE Ricavi'!E308),2)</f>
        <v>0</v>
      </c>
      <c r="E155" s="360">
        <f>ROUND(('Alim CE Ricavi'!H306+'Alim CE Ricavi'!H307+'Alim CE Ricavi'!H308),2)</f>
        <v>0</v>
      </c>
      <c r="F155" s="59"/>
      <c r="G155" s="200"/>
      <c r="H155" s="91"/>
    </row>
    <row r="156" spans="1:8" ht="25.5">
      <c r="A156" s="191"/>
      <c r="B156" s="92" t="s">
        <v>389</v>
      </c>
      <c r="C156" s="93" t="s">
        <v>1369</v>
      </c>
      <c r="D156" s="360">
        <f>ROUND(('Alim CE Ricavi'!E310+'Alim CE Ricavi'!E311+'Alim CE Ricavi'!E312),2)</f>
        <v>0</v>
      </c>
      <c r="E156" s="360">
        <f>ROUND(('Alim CE Ricavi'!H310+'Alim CE Ricavi'!H311+'Alim CE Ricavi'!H312),2)</f>
        <v>0</v>
      </c>
      <c r="F156" s="59"/>
      <c r="G156" s="200"/>
      <c r="H156" s="91"/>
    </row>
    <row r="157" spans="1:8" ht="18.75">
      <c r="A157" s="191"/>
      <c r="B157" s="92" t="s">
        <v>394</v>
      </c>
      <c r="C157" s="93" t="s">
        <v>1370</v>
      </c>
      <c r="D157" s="360">
        <f>ROUND(('Alim CE Ricavi'!E314+'Alim CE Ricavi'!E315+'Alim CE Ricavi'!E316),2)</f>
        <v>7500</v>
      </c>
      <c r="E157" s="360">
        <f>ROUND(('Alim CE Ricavi'!H314+'Alim CE Ricavi'!H315+'Alim CE Ricavi'!H316),2)</f>
        <v>9190.73</v>
      </c>
      <c r="F157" s="59"/>
      <c r="G157" s="200"/>
      <c r="H157" s="91"/>
    </row>
    <row r="158" spans="1:8" ht="18.75">
      <c r="A158" s="191"/>
      <c r="B158" s="119" t="s">
        <v>1371</v>
      </c>
      <c r="C158" s="120" t="s">
        <v>1372</v>
      </c>
      <c r="D158" s="363">
        <f t="shared" ref="D158" si="54">+D154+D153+D146+D142+D121+D66+D60+D57+D26</f>
        <v>580196664.09000003</v>
      </c>
      <c r="E158" s="363">
        <f t="shared" ref="E158" si="55">+E154+E153+E146+E142+E121+E66+E60+E57+E26</f>
        <v>508121042.45999992</v>
      </c>
      <c r="F158" s="59" t="s">
        <v>1835</v>
      </c>
      <c r="G158" s="200"/>
      <c r="H158" s="91"/>
    </row>
    <row r="159" spans="1:8" ht="18.75">
      <c r="A159" s="191"/>
      <c r="B159" s="127"/>
      <c r="C159" s="129" t="s">
        <v>1373</v>
      </c>
      <c r="D159" s="364"/>
      <c r="E159" s="364"/>
      <c r="F159" s="59"/>
      <c r="G159" s="200"/>
      <c r="H159" s="91"/>
    </row>
    <row r="160" spans="1:8" ht="18.75">
      <c r="A160" s="191"/>
      <c r="B160" s="117" t="s">
        <v>463</v>
      </c>
      <c r="C160" s="118" t="s">
        <v>1374</v>
      </c>
      <c r="D160" s="357">
        <f>+D161+D191</f>
        <v>465303184.44</v>
      </c>
      <c r="E160" s="357">
        <f>+E161+E191</f>
        <v>443367062.40000004</v>
      </c>
      <c r="F160" s="59" t="s">
        <v>1835</v>
      </c>
      <c r="G160" s="200"/>
      <c r="H160" s="91"/>
    </row>
    <row r="161" spans="1:8" ht="18.75">
      <c r="A161" s="191"/>
      <c r="B161" s="112" t="s">
        <v>464</v>
      </c>
      <c r="C161" s="113" t="s">
        <v>1375</v>
      </c>
      <c r="D161" s="358">
        <f t="shared" ref="D161" si="56">+D162+D170+D174+D178+D179+D180+D181+D182+D183</f>
        <v>458886193.02999997</v>
      </c>
      <c r="E161" s="358">
        <f t="shared" ref="E161" si="57">+E162+E170+E174+E178+E179+E180+E181+E182+E183</f>
        <v>435995385.30000001</v>
      </c>
      <c r="F161" s="59" t="s">
        <v>1835</v>
      </c>
      <c r="G161" s="200"/>
      <c r="H161" s="91"/>
    </row>
    <row r="162" spans="1:8" ht="18.75">
      <c r="A162" s="191"/>
      <c r="B162" s="121" t="s">
        <v>465</v>
      </c>
      <c r="C162" s="122" t="s">
        <v>1376</v>
      </c>
      <c r="D162" s="359">
        <f t="shared" ref="D162" si="58">SUM(D163:D166)</f>
        <v>337903388.57999998</v>
      </c>
      <c r="E162" s="359">
        <f t="shared" ref="E162" si="59">SUM(E163:E166)</f>
        <v>319017244.30000001</v>
      </c>
      <c r="F162" s="59" t="s">
        <v>1835</v>
      </c>
      <c r="G162" s="200"/>
      <c r="H162" s="91"/>
    </row>
    <row r="163" spans="1:8" ht="38.25">
      <c r="A163" s="193"/>
      <c r="B163" s="96" t="s">
        <v>466</v>
      </c>
      <c r="C163" s="97" t="s">
        <v>1377</v>
      </c>
      <c r="D163" s="360">
        <f>+ROUND('Alim CE Costi'!E7+'Alim CE Costi'!E8,2)</f>
        <v>334546944.94</v>
      </c>
      <c r="E163" s="360">
        <f>+ROUND('Alim CE Costi'!H7+'Alim CE Costi'!H8,2)</f>
        <v>315613866.48000002</v>
      </c>
      <c r="F163" s="303"/>
      <c r="G163" s="200"/>
      <c r="H163" s="91"/>
    </row>
    <row r="164" spans="1:8" ht="18.75">
      <c r="A164" s="193"/>
      <c r="B164" s="96" t="s">
        <v>469</v>
      </c>
      <c r="C164" s="97" t="s">
        <v>1378</v>
      </c>
      <c r="D164" s="360">
        <f>+ROUND('Alim CE Costi'!E10+'Alim CE Costi'!E11,2)</f>
        <v>3356443.64</v>
      </c>
      <c r="E164" s="360">
        <f>+ROUND('Alim CE Costi'!H10+'Alim CE Costi'!H11,2)</f>
        <v>3403377.82</v>
      </c>
      <c r="F164" s="303"/>
      <c r="G164" s="200"/>
      <c r="H164" s="91"/>
    </row>
    <row r="165" spans="1:8" ht="18.75">
      <c r="A165" s="193"/>
      <c r="B165" s="96" t="s">
        <v>471</v>
      </c>
      <c r="C165" s="97" t="s">
        <v>1379</v>
      </c>
      <c r="D165" s="360">
        <f>+ROUND('Alim CE Costi'!E13,2)</f>
        <v>0</v>
      </c>
      <c r="E165" s="360">
        <f>+ROUND('Alim CE Costi'!H13,2)</f>
        <v>0</v>
      </c>
      <c r="F165" s="303"/>
      <c r="G165" s="200"/>
      <c r="H165" s="91"/>
    </row>
    <row r="166" spans="1:8" ht="18.75">
      <c r="A166" s="191"/>
      <c r="B166" s="123" t="s">
        <v>472</v>
      </c>
      <c r="C166" s="124" t="s">
        <v>1380</v>
      </c>
      <c r="D166" s="361">
        <f t="shared" ref="D166" si="60">SUM(D167:D169)</f>
        <v>0</v>
      </c>
      <c r="E166" s="361">
        <f t="shared" ref="E166" si="61">SUM(E167:E169)</f>
        <v>0</v>
      </c>
      <c r="F166" s="59" t="s">
        <v>1835</v>
      </c>
      <c r="G166" s="200"/>
      <c r="H166" s="91"/>
    </row>
    <row r="167" spans="1:8" ht="38.25">
      <c r="A167" s="193" t="s">
        <v>1248</v>
      </c>
      <c r="B167" s="96" t="s">
        <v>474</v>
      </c>
      <c r="C167" s="97" t="s">
        <v>1381</v>
      </c>
      <c r="D167" s="360">
        <f>+ROUND('Alim CE Costi'!E16,2)</f>
        <v>0</v>
      </c>
      <c r="E167" s="360">
        <f>+ROUND('Alim CE Costi'!H16,2)</f>
        <v>0</v>
      </c>
      <c r="F167" s="303"/>
      <c r="G167" s="200"/>
      <c r="H167" s="91"/>
    </row>
    <row r="168" spans="1:8" ht="38.25">
      <c r="A168" s="193" t="s">
        <v>1293</v>
      </c>
      <c r="B168" s="96" t="s">
        <v>476</v>
      </c>
      <c r="C168" s="97" t="s">
        <v>1382</v>
      </c>
      <c r="D168" s="360">
        <f>+ROUND('Alim CE Costi'!E18,2)</f>
        <v>0</v>
      </c>
      <c r="E168" s="360">
        <f>+ROUND('Alim CE Costi'!H18,2)</f>
        <v>0</v>
      </c>
      <c r="F168" s="303"/>
      <c r="G168" s="200"/>
      <c r="H168" s="91"/>
    </row>
    <row r="169" spans="1:8" ht="25.5">
      <c r="A169" s="193"/>
      <c r="B169" s="96" t="s">
        <v>478</v>
      </c>
      <c r="C169" s="97" t="s">
        <v>1383</v>
      </c>
      <c r="D169" s="360">
        <f>+ROUND('Alim CE Costi'!E20,2)</f>
        <v>0</v>
      </c>
      <c r="E169" s="360">
        <f>+ROUND('Alim CE Costi'!H20,2)</f>
        <v>0</v>
      </c>
      <c r="F169" s="303"/>
      <c r="G169" s="200"/>
      <c r="H169" s="91"/>
    </row>
    <row r="170" spans="1:8" ht="18.75">
      <c r="A170" s="191"/>
      <c r="B170" s="121" t="s">
        <v>479</v>
      </c>
      <c r="C170" s="122" t="s">
        <v>1384</v>
      </c>
      <c r="D170" s="359">
        <f t="shared" ref="D170" si="62">SUM(D171:D173)</f>
        <v>0</v>
      </c>
      <c r="E170" s="359">
        <f t="shared" ref="E170" si="63">SUM(E171:E173)</f>
        <v>0</v>
      </c>
      <c r="F170" s="59" t="s">
        <v>1835</v>
      </c>
      <c r="G170" s="200"/>
      <c r="H170" s="91"/>
    </row>
    <row r="171" spans="1:8" ht="25.5">
      <c r="A171" s="191" t="s">
        <v>1248</v>
      </c>
      <c r="B171" s="96" t="s">
        <v>480</v>
      </c>
      <c r="C171" s="97" t="s">
        <v>1385</v>
      </c>
      <c r="D171" s="360">
        <f>+ROUND('Alim CE Costi'!E23,2)</f>
        <v>0</v>
      </c>
      <c r="E171" s="360">
        <f>+ROUND('Alim CE Costi'!H23,2)</f>
        <v>0</v>
      </c>
      <c r="F171" s="59"/>
      <c r="G171" s="200"/>
      <c r="H171" s="91"/>
    </row>
    <row r="172" spans="1:8" ht="25.5">
      <c r="A172" s="191" t="s">
        <v>1293</v>
      </c>
      <c r="B172" s="96" t="s">
        <v>481</v>
      </c>
      <c r="C172" s="97" t="s">
        <v>1386</v>
      </c>
      <c r="D172" s="360">
        <f>+ROUND('Alim CE Costi'!E25,2)</f>
        <v>0</v>
      </c>
      <c r="E172" s="360">
        <f>+ROUND('Alim CE Costi'!H25,2)</f>
        <v>0</v>
      </c>
      <c r="F172" s="59"/>
      <c r="G172" s="200"/>
      <c r="H172" s="91"/>
    </row>
    <row r="173" spans="1:8" ht="18.75">
      <c r="A173" s="191"/>
      <c r="B173" s="96" t="s">
        <v>483</v>
      </c>
      <c r="C173" s="97" t="s">
        <v>1387</v>
      </c>
      <c r="D173" s="360">
        <f>+ROUND('Alim CE Costi'!E27,2)</f>
        <v>0</v>
      </c>
      <c r="E173" s="360">
        <f>+ROUND('Alim CE Costi'!H27,2)</f>
        <v>0</v>
      </c>
      <c r="F173" s="59"/>
      <c r="G173" s="200"/>
      <c r="H173" s="91"/>
    </row>
    <row r="174" spans="1:8" ht="18.75">
      <c r="A174" s="191"/>
      <c r="B174" s="121" t="s">
        <v>485</v>
      </c>
      <c r="C174" s="122" t="s">
        <v>1388</v>
      </c>
      <c r="D174" s="359">
        <f t="shared" ref="D174" si="64">SUM(D175:D177)</f>
        <v>98991787.38000001</v>
      </c>
      <c r="E174" s="359">
        <f t="shared" ref="E174" si="65">SUM(E175:E177)</f>
        <v>95657524.890000015</v>
      </c>
      <c r="F174" s="305" t="s">
        <v>1835</v>
      </c>
      <c r="G174" s="200"/>
      <c r="H174" s="91"/>
    </row>
    <row r="175" spans="1:8" ht="18.75">
      <c r="A175" s="191"/>
      <c r="B175" s="96" t="s">
        <v>486</v>
      </c>
      <c r="C175" s="97" t="s">
        <v>1389</v>
      </c>
      <c r="D175" s="360">
        <f>+ROUND('Alim CE Costi'!E30+'Alim CE Costi'!E31,2)</f>
        <v>90493050.510000005</v>
      </c>
      <c r="E175" s="360">
        <f>+ROUND('Alim CE Costi'!H30+'Alim CE Costi'!H31,2)</f>
        <v>88606603.920000002</v>
      </c>
      <c r="F175" s="59"/>
      <c r="G175" s="200"/>
      <c r="H175" s="91"/>
    </row>
    <row r="176" spans="1:8" ht="18.75">
      <c r="A176" s="191"/>
      <c r="B176" s="96" t="s">
        <v>488</v>
      </c>
      <c r="C176" s="97" t="s">
        <v>1390</v>
      </c>
      <c r="D176" s="360">
        <f>+ROUND('Alim CE Costi'!E33+'Alim CE Costi'!E34,2)</f>
        <v>3842143.51</v>
      </c>
      <c r="E176" s="360">
        <f>+ROUND('Alim CE Costi'!H33+'Alim CE Costi'!H34,2)</f>
        <v>787034.04</v>
      </c>
      <c r="F176" s="59"/>
      <c r="G176" s="200"/>
      <c r="H176" s="91"/>
    </row>
    <row r="177" spans="1:8" ht="18.75">
      <c r="A177" s="191"/>
      <c r="B177" s="96" t="s">
        <v>490</v>
      </c>
      <c r="C177" s="97" t="s">
        <v>1391</v>
      </c>
      <c r="D177" s="360">
        <f>+ROUND('Alim CE Costi'!E36+'Alim CE Costi'!E37,2)</f>
        <v>4656593.3600000003</v>
      </c>
      <c r="E177" s="360">
        <f>+ROUND('Alim CE Costi'!H36+'Alim CE Costi'!H37,2)</f>
        <v>6263886.9299999997</v>
      </c>
      <c r="F177" s="59"/>
      <c r="G177" s="200"/>
      <c r="H177" s="91"/>
    </row>
    <row r="178" spans="1:8" ht="18.75">
      <c r="A178" s="191"/>
      <c r="B178" s="94" t="s">
        <v>492</v>
      </c>
      <c r="C178" s="95" t="s">
        <v>1392</v>
      </c>
      <c r="D178" s="365">
        <f>+ROUND('Alim CE Costi'!E39+'Alim CE Costi'!E40,2)</f>
        <v>3114596.5</v>
      </c>
      <c r="E178" s="365">
        <f>+ROUND('Alim CE Costi'!H39+'Alim CE Costi'!H40,2)</f>
        <v>2354109.0299999998</v>
      </c>
      <c r="F178" s="303"/>
      <c r="G178" s="200"/>
      <c r="H178" s="91"/>
    </row>
    <row r="179" spans="1:8" ht="18.75">
      <c r="A179" s="191"/>
      <c r="B179" s="94" t="s">
        <v>494</v>
      </c>
      <c r="C179" s="95" t="s">
        <v>1393</v>
      </c>
      <c r="D179" s="365">
        <f>+ROUND('Alim CE Costi'!E42+'Alim CE Costi'!E43,2)</f>
        <v>17232957.370000001</v>
      </c>
      <c r="E179" s="365">
        <f>+ROUND('Alim CE Costi'!H42+'Alim CE Costi'!H43,2)</f>
        <v>15808515.710000001</v>
      </c>
      <c r="F179" s="303"/>
      <c r="G179" s="200"/>
      <c r="H179" s="91"/>
    </row>
    <row r="180" spans="1:8" ht="18.75">
      <c r="A180" s="191"/>
      <c r="B180" s="94" t="s">
        <v>496</v>
      </c>
      <c r="C180" s="95" t="s">
        <v>1394</v>
      </c>
      <c r="D180" s="365">
        <f>+ROUND('Alim CE Costi'!E45+'Alim CE Costi'!E46,2)</f>
        <v>2060.08</v>
      </c>
      <c r="E180" s="365">
        <f>+ROUND('Alim CE Costi'!H45+'Alim CE Costi'!H46,2)</f>
        <v>14794.1</v>
      </c>
      <c r="F180" s="303"/>
      <c r="G180" s="200"/>
      <c r="H180" s="91"/>
    </row>
    <row r="181" spans="1:8" ht="18.75">
      <c r="A181" s="191"/>
      <c r="B181" s="94" t="s">
        <v>498</v>
      </c>
      <c r="C181" s="95" t="s">
        <v>1395</v>
      </c>
      <c r="D181" s="365">
        <f>+ROUND('Alim CE Costi'!E48+'Alim CE Costi'!E49,2)</f>
        <v>20138.93</v>
      </c>
      <c r="E181" s="365">
        <f>+ROUND('Alim CE Costi'!H48+'Alim CE Costi'!H49,2)</f>
        <v>47393.64</v>
      </c>
      <c r="F181" s="303"/>
      <c r="G181" s="200"/>
      <c r="H181" s="91"/>
    </row>
    <row r="182" spans="1:8" ht="18.75">
      <c r="A182" s="191"/>
      <c r="B182" s="94" t="s">
        <v>500</v>
      </c>
      <c r="C182" s="95" t="s">
        <v>1396</v>
      </c>
      <c r="D182" s="365">
        <f>+ROUND('Alim CE Costi'!E51+'Alim CE Costi'!E52,2)</f>
        <v>1621264.19</v>
      </c>
      <c r="E182" s="365">
        <f>+ROUND('Alim CE Costi'!H51+'Alim CE Costi'!H52,2)</f>
        <v>3095803.63</v>
      </c>
      <c r="F182" s="303"/>
      <c r="G182" s="200"/>
      <c r="H182" s="91"/>
    </row>
    <row r="183" spans="1:8" ht="25.5">
      <c r="A183" s="191" t="s">
        <v>1248</v>
      </c>
      <c r="B183" s="121" t="s">
        <v>501</v>
      </c>
      <c r="C183" s="122" t="s">
        <v>1397</v>
      </c>
      <c r="D183" s="359">
        <f>SUM(D184:D190)</f>
        <v>0</v>
      </c>
      <c r="E183" s="359">
        <f>SUM(E184:E190)</f>
        <v>0</v>
      </c>
      <c r="F183" s="303" t="s">
        <v>1835</v>
      </c>
      <c r="G183" s="200"/>
    </row>
    <row r="184" spans="1:8" ht="18.75">
      <c r="A184" s="191" t="s">
        <v>1248</v>
      </c>
      <c r="B184" s="94" t="s">
        <v>502</v>
      </c>
      <c r="C184" s="95" t="s">
        <v>1398</v>
      </c>
      <c r="D184" s="365">
        <f>+ROUND('Alim CE Costi'!E55+'Alim CE Costi'!E56+'Alim CE Costi'!E57,2)</f>
        <v>0</v>
      </c>
      <c r="E184" s="365">
        <f>+ROUND('Alim CE Costi'!H55+'Alim CE Costi'!H56+'Alim CE Costi'!H57,2)</f>
        <v>0</v>
      </c>
      <c r="F184" s="303"/>
      <c r="G184" s="200"/>
    </row>
    <row r="185" spans="1:8" ht="18.75">
      <c r="A185" s="191" t="s">
        <v>1248</v>
      </c>
      <c r="B185" s="94" t="s">
        <v>503</v>
      </c>
      <c r="C185" s="95" t="s">
        <v>1399</v>
      </c>
      <c r="D185" s="365">
        <f>+ROUND('Alim CE Costi'!E59+'Alim CE Costi'!E60+'Alim CE Costi'!E61,2)</f>
        <v>0</v>
      </c>
      <c r="E185" s="365">
        <f>+ROUND('Alim CE Costi'!H59+'Alim CE Costi'!H60+'Alim CE Costi'!H61,2)</f>
        <v>0</v>
      </c>
      <c r="F185" s="303"/>
      <c r="G185" s="200"/>
    </row>
    <row r="186" spans="1:8" ht="18.75">
      <c r="A186" s="191" t="s">
        <v>1248</v>
      </c>
      <c r="B186" s="94" t="s">
        <v>504</v>
      </c>
      <c r="C186" s="95" t="s">
        <v>1400</v>
      </c>
      <c r="D186" s="365">
        <f>+ROUND('Alim CE Costi'!E63,2)</f>
        <v>0</v>
      </c>
      <c r="E186" s="365">
        <f>+ROUND('Alim CE Costi'!H63,2)</f>
        <v>0</v>
      </c>
      <c r="F186" s="303"/>
      <c r="G186" s="200"/>
    </row>
    <row r="187" spans="1:8" ht="18.75">
      <c r="A187" s="191" t="s">
        <v>1248</v>
      </c>
      <c r="B187" s="94" t="s">
        <v>505</v>
      </c>
      <c r="C187" s="95" t="s">
        <v>1401</v>
      </c>
      <c r="D187" s="365">
        <f>+ROUND('Alim CE Costi'!E65,2)</f>
        <v>0</v>
      </c>
      <c r="E187" s="365">
        <f>+ROUND('Alim CE Costi'!H65,2)</f>
        <v>0</v>
      </c>
      <c r="F187" s="303"/>
      <c r="G187" s="200"/>
    </row>
    <row r="188" spans="1:8" ht="18.75">
      <c r="A188" s="191" t="s">
        <v>1248</v>
      </c>
      <c r="B188" s="94" t="s">
        <v>506</v>
      </c>
      <c r="C188" s="95" t="s">
        <v>1402</v>
      </c>
      <c r="D188" s="365">
        <f>+ROUND('Alim CE Costi'!E67,2)</f>
        <v>0</v>
      </c>
      <c r="E188" s="365">
        <f>+ROUND('Alim CE Costi'!H67,2)</f>
        <v>0</v>
      </c>
      <c r="F188" s="303"/>
      <c r="G188" s="200"/>
    </row>
    <row r="189" spans="1:8" ht="18.75">
      <c r="A189" s="191" t="s">
        <v>1248</v>
      </c>
      <c r="B189" s="94" t="s">
        <v>507</v>
      </c>
      <c r="C189" s="95" t="s">
        <v>1403</v>
      </c>
      <c r="D189" s="365">
        <f>+ROUND('Alim CE Costi'!E69,2)</f>
        <v>0</v>
      </c>
      <c r="E189" s="365">
        <f>+ROUND('Alim CE Costi'!H69,2)</f>
        <v>0</v>
      </c>
      <c r="F189" s="303"/>
      <c r="G189" s="200"/>
    </row>
    <row r="190" spans="1:8" ht="18.75">
      <c r="A190" s="191" t="s">
        <v>1248</v>
      </c>
      <c r="B190" s="94" t="s">
        <v>508</v>
      </c>
      <c r="C190" s="95" t="s">
        <v>1404</v>
      </c>
      <c r="D190" s="365">
        <f>+ROUND('Alim CE Costi'!E71,2)</f>
        <v>0</v>
      </c>
      <c r="E190" s="365">
        <f>+ROUND('Alim CE Costi'!H71,2)</f>
        <v>0</v>
      </c>
      <c r="F190" s="303"/>
      <c r="G190" s="200"/>
    </row>
    <row r="191" spans="1:8" ht="18.75">
      <c r="A191" s="191"/>
      <c r="B191" s="112" t="s">
        <v>509</v>
      </c>
      <c r="C191" s="113" t="s">
        <v>1405</v>
      </c>
      <c r="D191" s="358">
        <f t="shared" ref="D191" si="66">SUM(D192:D198)</f>
        <v>6416991.4100000001</v>
      </c>
      <c r="E191" s="358">
        <f t="shared" ref="E191" si="67">SUM(E192:E198)</f>
        <v>7371677.0999999996</v>
      </c>
      <c r="F191" s="59" t="s">
        <v>1835</v>
      </c>
      <c r="G191" s="200"/>
      <c r="H191" s="91"/>
    </row>
    <row r="192" spans="1:8" ht="18.75">
      <c r="A192" s="191"/>
      <c r="B192" s="94" t="s">
        <v>511</v>
      </c>
      <c r="C192" s="95" t="s">
        <v>1406</v>
      </c>
      <c r="D192" s="360">
        <f>+ROUND('Alim CE Costi'!E74+'Alim CE Costi'!E75,2)</f>
        <v>103084.58</v>
      </c>
      <c r="E192" s="360">
        <f>+ROUND('Alim CE Costi'!H74+'Alim CE Costi'!H75,2)</f>
        <v>91501.34</v>
      </c>
      <c r="F192" s="59"/>
      <c r="G192" s="200"/>
      <c r="H192" s="91"/>
    </row>
    <row r="193" spans="1:8" ht="25.5">
      <c r="A193" s="191"/>
      <c r="B193" s="94" t="s">
        <v>513</v>
      </c>
      <c r="C193" s="95" t="s">
        <v>1407</v>
      </c>
      <c r="D193" s="360">
        <f>+ROUND('Alim CE Costi'!E77+'Alim CE Costi'!E78,2)</f>
        <v>3487264.55</v>
      </c>
      <c r="E193" s="360">
        <f>+ROUND('Alim CE Costi'!H77+'Alim CE Costi'!H78,2)</f>
        <v>4636120.41</v>
      </c>
      <c r="F193" s="59"/>
      <c r="G193" s="200"/>
      <c r="H193" s="91"/>
    </row>
    <row r="194" spans="1:8" ht="18.75">
      <c r="A194" s="191"/>
      <c r="B194" s="94" t="s">
        <v>515</v>
      </c>
      <c r="C194" s="95" t="s">
        <v>1408</v>
      </c>
      <c r="D194" s="360">
        <f>+ROUND('Alim CE Costi'!E80+'Alim CE Costi'!E81,2)</f>
        <v>5852.28</v>
      </c>
      <c r="E194" s="360">
        <f>+ROUND('Alim CE Costi'!H80+'Alim CE Costi'!H81,2)</f>
        <v>6092.42</v>
      </c>
      <c r="F194" s="59"/>
      <c r="G194" s="200"/>
      <c r="H194" s="91"/>
    </row>
    <row r="195" spans="1:8" ht="18.75">
      <c r="A195" s="191"/>
      <c r="B195" s="94" t="s">
        <v>516</v>
      </c>
      <c r="C195" s="95" t="s">
        <v>1409</v>
      </c>
      <c r="D195" s="360">
        <f>+ROUND('Alim CE Costi'!E83+'Alim CE Costi'!E84+'Alim CE Costi'!E85+'Alim CE Costi'!E86,2)</f>
        <v>2716217.51</v>
      </c>
      <c r="E195" s="360">
        <f>+ROUND('Alim CE Costi'!H83+'Alim CE Costi'!H84+'Alim CE Costi'!H85+'Alim CE Costi'!H86,2)</f>
        <v>2567123.9300000002</v>
      </c>
      <c r="F195" s="59"/>
      <c r="G195" s="200"/>
      <c r="H195" s="91"/>
    </row>
    <row r="196" spans="1:8" ht="18.75">
      <c r="A196" s="191"/>
      <c r="B196" s="94" t="s">
        <v>520</v>
      </c>
      <c r="C196" s="95" t="s">
        <v>1410</v>
      </c>
      <c r="D196" s="360">
        <f>+ROUND('Alim CE Costi'!E88+'Alim CE Costi'!E89+'Alim CE Costi'!E90,2)</f>
        <v>36464.79</v>
      </c>
      <c r="E196" s="360">
        <f>+ROUND('Alim CE Costi'!H88+'Alim CE Costi'!H89+'Alim CE Costi'!H90,2)</f>
        <v>3690.93</v>
      </c>
      <c r="F196" s="59"/>
      <c r="G196" s="200"/>
      <c r="H196" s="91"/>
    </row>
    <row r="197" spans="1:8" ht="18.75">
      <c r="A197" s="191"/>
      <c r="B197" s="94" t="s">
        <v>524</v>
      </c>
      <c r="C197" s="95" t="s">
        <v>1411</v>
      </c>
      <c r="D197" s="360">
        <f>+ROUND('Alim CE Costi'!E92+'Alim CE Costi'!E93,2)</f>
        <v>68107.7</v>
      </c>
      <c r="E197" s="360">
        <f>+ROUND('Alim CE Costi'!H92+'Alim CE Costi'!H93,2)</f>
        <v>67148.070000000007</v>
      </c>
      <c r="F197" s="59"/>
      <c r="G197" s="200"/>
      <c r="H197" s="91"/>
    </row>
    <row r="198" spans="1:8" ht="25.5">
      <c r="A198" s="191" t="s">
        <v>1248</v>
      </c>
      <c r="B198" s="94" t="s">
        <v>525</v>
      </c>
      <c r="C198" s="95" t="s">
        <v>1412</v>
      </c>
      <c r="D198" s="360">
        <f>+ROUND('Alim CE Costi'!E95+'Alim CE Costi'!E96+'Alim CE Costi'!E97+'Alim CE Costi'!E98+'Alim CE Costi'!E99+'Alim CE Costi'!E100,2)</f>
        <v>0</v>
      </c>
      <c r="E198" s="360">
        <f>+ROUND('Alim CE Costi'!H95+'Alim CE Costi'!H96+'Alim CE Costi'!H97+'Alim CE Costi'!H98+'Alim CE Costi'!H99+'Alim CE Costi'!H100,2)</f>
        <v>0</v>
      </c>
      <c r="F198" s="59"/>
      <c r="G198" s="200"/>
      <c r="H198" s="91"/>
    </row>
    <row r="199" spans="1:8" ht="18.75">
      <c r="A199" s="191"/>
      <c r="B199" s="117" t="s">
        <v>526</v>
      </c>
      <c r="C199" s="118" t="s">
        <v>1413</v>
      </c>
      <c r="D199" s="357">
        <f t="shared" ref="D199" si="68">+D200+D330</f>
        <v>39545083.780000001</v>
      </c>
      <c r="E199" s="357">
        <f t="shared" ref="E199" si="69">+E200+E330</f>
        <v>28066636</v>
      </c>
      <c r="F199" s="59" t="s">
        <v>1835</v>
      </c>
      <c r="G199" s="200"/>
      <c r="H199" s="91"/>
    </row>
    <row r="200" spans="1:8" ht="18.75">
      <c r="A200" s="191"/>
      <c r="B200" s="112" t="s">
        <v>527</v>
      </c>
      <c r="C200" s="113" t="s">
        <v>1414</v>
      </c>
      <c r="D200" s="358">
        <f t="shared" ref="D200" si="70">+D201+D209+D213+D232+D238+D243+D248+D258+D264+D271+D277+D282+D291+D299+D307+D321+D329</f>
        <v>20812105.27</v>
      </c>
      <c r="E200" s="358">
        <f t="shared" ref="E200" si="71">+E201+E209+E213+E232+E238+E243+E248+E258+E264+E271+E277+E282+E291+E299+E307+E321+E329</f>
        <v>9415066.5200000014</v>
      </c>
      <c r="F200" s="59" t="s">
        <v>1835</v>
      </c>
      <c r="G200" s="200"/>
      <c r="H200" s="91"/>
    </row>
    <row r="201" spans="1:8" ht="25.5">
      <c r="A201" s="191"/>
      <c r="B201" s="130" t="s">
        <v>528</v>
      </c>
      <c r="C201" s="131" t="s">
        <v>1415</v>
      </c>
      <c r="D201" s="359">
        <f t="shared" ref="D201" si="72">+D202+D207+D208</f>
        <v>0</v>
      </c>
      <c r="E201" s="359">
        <f t="shared" ref="E201" si="73">+E202+E207+E208</f>
        <v>0</v>
      </c>
      <c r="F201" s="59" t="s">
        <v>1835</v>
      </c>
      <c r="G201" s="200"/>
      <c r="H201" s="91"/>
    </row>
    <row r="202" spans="1:8" ht="18.75">
      <c r="A202" s="191"/>
      <c r="B202" s="125" t="s">
        <v>529</v>
      </c>
      <c r="C202" s="126" t="s">
        <v>1416</v>
      </c>
      <c r="D202" s="361">
        <f t="shared" ref="D202" si="74">SUM(D203:D206)</f>
        <v>0</v>
      </c>
      <c r="E202" s="361">
        <f t="shared" ref="E202" si="75">SUM(E203:E206)</f>
        <v>0</v>
      </c>
      <c r="F202" s="59" t="s">
        <v>1835</v>
      </c>
      <c r="G202" s="200"/>
      <c r="H202" s="91"/>
    </row>
    <row r="203" spans="1:8" ht="18.75">
      <c r="A203" s="191"/>
      <c r="B203" s="94" t="s">
        <v>530</v>
      </c>
      <c r="C203" s="95" t="s">
        <v>1417</v>
      </c>
      <c r="D203" s="360">
        <f>+ROUND(SUM('Alim CE Costi'!E106:E116),2)</f>
        <v>0</v>
      </c>
      <c r="E203" s="360">
        <f>+ROUND(SUM('Alim CE Costi'!H106:H116),2)</f>
        <v>0</v>
      </c>
      <c r="F203" s="59"/>
      <c r="G203" s="200"/>
      <c r="H203" s="91"/>
    </row>
    <row r="204" spans="1:8" ht="18.75">
      <c r="A204" s="191"/>
      <c r="B204" s="94" t="s">
        <v>531</v>
      </c>
      <c r="C204" s="95" t="s">
        <v>1418</v>
      </c>
      <c r="D204" s="360">
        <f>+ROUND(SUM('Alim CE Costi'!E118:E128),2)</f>
        <v>0</v>
      </c>
      <c r="E204" s="360">
        <f>+ROUND(SUM('Alim CE Costi'!H118:H128),2)</f>
        <v>0</v>
      </c>
      <c r="F204" s="59"/>
      <c r="G204" s="200"/>
      <c r="H204" s="91"/>
    </row>
    <row r="205" spans="1:8" ht="18.75">
      <c r="A205" s="191"/>
      <c r="B205" s="94" t="s">
        <v>532</v>
      </c>
      <c r="C205" s="95" t="s">
        <v>1419</v>
      </c>
      <c r="D205" s="360">
        <f>+ROUND(SUM('Alim CE Costi'!E130:E143),2)</f>
        <v>0</v>
      </c>
      <c r="E205" s="360">
        <f>+ROUND(SUM('Alim CE Costi'!H130:H143),2)</f>
        <v>0</v>
      </c>
      <c r="F205" s="59"/>
      <c r="G205" s="200"/>
      <c r="H205" s="91"/>
    </row>
    <row r="206" spans="1:8" ht="25.5">
      <c r="A206" s="191"/>
      <c r="B206" s="94" t="s">
        <v>546</v>
      </c>
      <c r="C206" s="95" t="s">
        <v>1420</v>
      </c>
      <c r="D206" s="360">
        <f>+ROUND(SUM('Alim CE Costi'!E145:E152),2)</f>
        <v>0</v>
      </c>
      <c r="E206" s="360">
        <f>+ROUND(SUM('Alim CE Costi'!H145:H152),2)</f>
        <v>0</v>
      </c>
      <c r="F206" s="59"/>
      <c r="G206" s="200"/>
      <c r="H206" s="91"/>
    </row>
    <row r="207" spans="1:8" ht="25.5">
      <c r="A207" s="191" t="s">
        <v>1248</v>
      </c>
      <c r="B207" s="94" t="s">
        <v>548</v>
      </c>
      <c r="C207" s="95" t="s">
        <v>1421</v>
      </c>
      <c r="D207" s="360">
        <f>+ROUND('Alim CE Costi'!E154,2)</f>
        <v>0</v>
      </c>
      <c r="E207" s="360">
        <f>+ROUND('Alim CE Costi'!H154,2)</f>
        <v>0</v>
      </c>
      <c r="F207" s="59"/>
      <c r="G207" s="200"/>
      <c r="H207" s="91"/>
    </row>
    <row r="208" spans="1:8" ht="25.5">
      <c r="A208" s="191" t="s">
        <v>1293</v>
      </c>
      <c r="B208" s="94" t="s">
        <v>549</v>
      </c>
      <c r="C208" s="95" t="s">
        <v>1422</v>
      </c>
      <c r="D208" s="360">
        <f>+ROUND('Alim CE Costi'!E156,2)</f>
        <v>0</v>
      </c>
      <c r="E208" s="360">
        <f>+ROUND('Alim CE Costi'!H156,2)</f>
        <v>0</v>
      </c>
      <c r="F208" s="59"/>
      <c r="G208" s="200"/>
      <c r="H208" s="91"/>
    </row>
    <row r="209" spans="1:8" ht="18.75">
      <c r="A209" s="191"/>
      <c r="B209" s="130" t="s">
        <v>550</v>
      </c>
      <c r="C209" s="131" t="s">
        <v>1423</v>
      </c>
      <c r="D209" s="359">
        <f t="shared" ref="D209" si="76">+D210+D211+D212</f>
        <v>0</v>
      </c>
      <c r="E209" s="359">
        <f t="shared" ref="E209" si="77">+E210+E211+E212</f>
        <v>0</v>
      </c>
      <c r="F209" s="59" t="s">
        <v>1835</v>
      </c>
      <c r="G209" s="200"/>
      <c r="H209" s="91"/>
    </row>
    <row r="210" spans="1:8" ht="18.75">
      <c r="A210" s="191"/>
      <c r="B210" s="94" t="s">
        <v>551</v>
      </c>
      <c r="C210" s="95" t="s">
        <v>1424</v>
      </c>
      <c r="D210" s="360">
        <f>+ROUND('Alim CE Costi'!E159+'Alim CE Costi'!E160,2)</f>
        <v>0</v>
      </c>
      <c r="E210" s="360">
        <f>+ROUND('Alim CE Costi'!H159+'Alim CE Costi'!H160,2)</f>
        <v>0</v>
      </c>
      <c r="F210" s="59"/>
      <c r="G210" s="200"/>
      <c r="H210" s="91"/>
    </row>
    <row r="211" spans="1:8" ht="25.5">
      <c r="A211" s="191" t="s">
        <v>1248</v>
      </c>
      <c r="B211" s="94" t="s">
        <v>554</v>
      </c>
      <c r="C211" s="95" t="s">
        <v>1425</v>
      </c>
      <c r="D211" s="360">
        <f>+ROUND('Alim CE Costi'!E162,2)</f>
        <v>0</v>
      </c>
      <c r="E211" s="360">
        <f>+ROUND('Alim CE Costi'!H162,2)</f>
        <v>0</v>
      </c>
      <c r="F211" s="59"/>
      <c r="G211" s="200"/>
      <c r="H211" s="91"/>
    </row>
    <row r="212" spans="1:8" ht="18.75">
      <c r="A212" s="193" t="s">
        <v>1293</v>
      </c>
      <c r="B212" s="94" t="s">
        <v>555</v>
      </c>
      <c r="C212" s="95" t="s">
        <v>1426</v>
      </c>
      <c r="D212" s="360">
        <f>+ROUND('Alim CE Costi'!E164,2)</f>
        <v>0</v>
      </c>
      <c r="E212" s="360">
        <f>+ROUND('Alim CE Costi'!H164,2)</f>
        <v>0</v>
      </c>
      <c r="F212" s="303"/>
      <c r="G212" s="200"/>
      <c r="H212" s="91"/>
    </row>
    <row r="213" spans="1:8" ht="25.5">
      <c r="A213" s="193"/>
      <c r="B213" s="130" t="s">
        <v>556</v>
      </c>
      <c r="C213" s="131" t="s">
        <v>1427</v>
      </c>
      <c r="D213" s="359">
        <f t="shared" ref="D213" si="78">+D214+D215+D216+D217+D218+D219+D220+D221+D230+D231</f>
        <v>2289.62</v>
      </c>
      <c r="E213" s="359">
        <f t="shared" ref="E213" si="79">+E214+E215+E216+E217+E218+E219+E220+E221+E230+E231</f>
        <v>237.97</v>
      </c>
      <c r="F213" s="59" t="s">
        <v>1835</v>
      </c>
      <c r="G213" s="200"/>
      <c r="H213" s="91"/>
    </row>
    <row r="214" spans="1:8" ht="25.5">
      <c r="A214" s="193" t="s">
        <v>1248</v>
      </c>
      <c r="B214" s="94" t="s">
        <v>557</v>
      </c>
      <c r="C214" s="95" t="s">
        <v>1428</v>
      </c>
      <c r="D214" s="360">
        <f>+ROUND('Alim CE Costi'!E167+'Alim CE Costi'!E168,2)</f>
        <v>2153.1999999999998</v>
      </c>
      <c r="E214" s="360">
        <f>+ROUND('Alim CE Costi'!H167+'Alim CE Costi'!H168,2)</f>
        <v>0</v>
      </c>
      <c r="F214" s="303"/>
      <c r="G214" s="200"/>
      <c r="H214" s="91"/>
    </row>
    <row r="215" spans="1:8" ht="38.25">
      <c r="A215" s="193" t="s">
        <v>1248</v>
      </c>
      <c r="B215" s="94" t="s">
        <v>561</v>
      </c>
      <c r="C215" s="95" t="s">
        <v>1429</v>
      </c>
      <c r="D215" s="360">
        <f>+ROUND('Alim CE Costi'!E170,2)</f>
        <v>0</v>
      </c>
      <c r="E215" s="360">
        <f>+ROUND('Alim CE Costi'!H170,2)</f>
        <v>0</v>
      </c>
      <c r="F215" s="303"/>
      <c r="G215" s="200"/>
      <c r="H215" s="91"/>
    </row>
    <row r="216" spans="1:8" ht="18.75">
      <c r="A216" s="193"/>
      <c r="B216" s="94" t="s">
        <v>562</v>
      </c>
      <c r="C216" s="95" t="s">
        <v>1430</v>
      </c>
      <c r="D216" s="360">
        <f>+ROUND('Alim CE Costi'!E172,2)</f>
        <v>0</v>
      </c>
      <c r="E216" s="360">
        <f>+ROUND('Alim CE Costi'!H172,2)</f>
        <v>0</v>
      </c>
      <c r="F216" s="303"/>
      <c r="G216" s="200"/>
      <c r="H216" s="91"/>
    </row>
    <row r="217" spans="1:8" ht="25.5">
      <c r="A217" s="193"/>
      <c r="B217" s="94" t="s">
        <v>564</v>
      </c>
      <c r="C217" s="95" t="s">
        <v>1431</v>
      </c>
      <c r="D217" s="360">
        <f>+ROUND('Alim CE Costi'!E174,2)</f>
        <v>0</v>
      </c>
      <c r="E217" s="360">
        <f>+ROUND('Alim CE Costi'!H174,2)</f>
        <v>0</v>
      </c>
      <c r="F217" s="303"/>
      <c r="G217" s="200"/>
      <c r="H217" s="91"/>
    </row>
    <row r="218" spans="1:8" ht="18.75">
      <c r="A218" s="193" t="s">
        <v>1293</v>
      </c>
      <c r="B218" s="94" t="s">
        <v>565</v>
      </c>
      <c r="C218" s="95" t="s">
        <v>1432</v>
      </c>
      <c r="D218" s="360">
        <f>+ROUND('Alim CE Costi'!E176,2)</f>
        <v>0</v>
      </c>
      <c r="E218" s="360">
        <f>+ROUND('Alim CE Costi'!H176,2)</f>
        <v>0</v>
      </c>
      <c r="F218" s="303"/>
      <c r="G218" s="200"/>
      <c r="H218" s="91"/>
    </row>
    <row r="219" spans="1:8" ht="25.5">
      <c r="A219" s="193" t="s">
        <v>1293</v>
      </c>
      <c r="B219" s="94" t="s">
        <v>569</v>
      </c>
      <c r="C219" s="95" t="s">
        <v>1433</v>
      </c>
      <c r="D219" s="360">
        <f>+ROUND('Alim CE Costi'!E178,2)</f>
        <v>0</v>
      </c>
      <c r="E219" s="360">
        <f>+ROUND('Alim CE Costi'!H178,2)</f>
        <v>0</v>
      </c>
      <c r="F219" s="303"/>
      <c r="G219" s="200"/>
      <c r="H219" s="91"/>
    </row>
    <row r="220" spans="1:8" ht="18.75">
      <c r="A220" s="193"/>
      <c r="B220" s="94" t="s">
        <v>570</v>
      </c>
      <c r="C220" s="95" t="s">
        <v>1434</v>
      </c>
      <c r="D220" s="360">
        <f>+ROUND('Alim CE Costi'!E180+'Alim CE Costi'!E181+'Alim CE Costi'!E182+'Alim CE Costi'!E183+'Alim CE Costi'!E184+'Alim CE Costi'!E185+'Alim CE Costi'!E186,2)</f>
        <v>0</v>
      </c>
      <c r="E220" s="360">
        <f>+ROUND('Alim CE Costi'!H180+'Alim CE Costi'!H181+'Alim CE Costi'!H182+'Alim CE Costi'!H183+'Alim CE Costi'!H184+'Alim CE Costi'!H185+'Alim CE Costi'!H186,2)</f>
        <v>0</v>
      </c>
      <c r="F220" s="303"/>
      <c r="G220" s="200"/>
      <c r="H220" s="91"/>
    </row>
    <row r="221" spans="1:8" ht="18.75">
      <c r="A221" s="193"/>
      <c r="B221" s="125" t="s">
        <v>571</v>
      </c>
      <c r="C221" s="126" t="s">
        <v>1435</v>
      </c>
      <c r="D221" s="361">
        <f t="shared" ref="D221" si="80">SUM(D222:D229)</f>
        <v>136.41999999999999</v>
      </c>
      <c r="E221" s="361">
        <f t="shared" ref="E221" si="81">SUM(E222:E229)</f>
        <v>237.97</v>
      </c>
      <c r="F221" s="59" t="s">
        <v>1835</v>
      </c>
      <c r="G221" s="200"/>
      <c r="H221" s="91"/>
    </row>
    <row r="222" spans="1:8" ht="25.5">
      <c r="A222" s="193"/>
      <c r="B222" s="96" t="s">
        <v>573</v>
      </c>
      <c r="C222" s="97" t="s">
        <v>1436</v>
      </c>
      <c r="D222" s="360">
        <f>+ROUND('Alim CE Costi'!E189,2)</f>
        <v>0</v>
      </c>
      <c r="E222" s="360">
        <f>+ROUND('Alim CE Costi'!H189,2)</f>
        <v>0</v>
      </c>
      <c r="F222" s="303"/>
      <c r="G222" s="200"/>
      <c r="H222" s="91"/>
    </row>
    <row r="223" spans="1:8" ht="38.25">
      <c r="A223" s="193"/>
      <c r="B223" s="96" t="s">
        <v>574</v>
      </c>
      <c r="C223" s="97" t="s">
        <v>1437</v>
      </c>
      <c r="D223" s="360">
        <f>+ROUND('Alim CE Costi'!E191,2)</f>
        <v>0</v>
      </c>
      <c r="E223" s="360">
        <f>+ROUND('Alim CE Costi'!H191,2)</f>
        <v>0</v>
      </c>
      <c r="F223" s="303"/>
      <c r="G223" s="200"/>
      <c r="H223" s="91"/>
    </row>
    <row r="224" spans="1:8" ht="25.5">
      <c r="A224" s="193"/>
      <c r="B224" s="96" t="s">
        <v>576</v>
      </c>
      <c r="C224" s="97" t="s">
        <v>1438</v>
      </c>
      <c r="D224" s="360">
        <f>+ROUND('Alim CE Costi'!E193,2)</f>
        <v>0</v>
      </c>
      <c r="E224" s="360">
        <f>+ROUND('Alim CE Costi'!H193,2)</f>
        <v>0</v>
      </c>
      <c r="F224" s="303"/>
      <c r="G224" s="200"/>
      <c r="H224" s="91"/>
    </row>
    <row r="225" spans="1:8" ht="38.25">
      <c r="A225" s="193"/>
      <c r="B225" s="96" t="s">
        <v>578</v>
      </c>
      <c r="C225" s="97" t="s">
        <v>1439</v>
      </c>
      <c r="D225" s="360">
        <f>+ROUND('Alim CE Costi'!E195,2)</f>
        <v>0</v>
      </c>
      <c r="E225" s="360">
        <f>+ROUND('Alim CE Costi'!H195,2)</f>
        <v>0</v>
      </c>
      <c r="F225" s="303"/>
      <c r="G225" s="200"/>
      <c r="H225" s="91"/>
    </row>
    <row r="226" spans="1:8" ht="25.5">
      <c r="A226" s="193"/>
      <c r="B226" s="96" t="s">
        <v>580</v>
      </c>
      <c r="C226" s="97" t="s">
        <v>1440</v>
      </c>
      <c r="D226" s="360">
        <f>+ROUND('Alim CE Costi'!E197,2)</f>
        <v>136.41999999999999</v>
      </c>
      <c r="E226" s="360">
        <f>+ROUND('Alim CE Costi'!H197,2)</f>
        <v>237.97</v>
      </c>
      <c r="F226" s="303"/>
      <c r="G226" s="200"/>
      <c r="H226" s="91"/>
    </row>
    <row r="227" spans="1:8" ht="25.5">
      <c r="A227" s="193"/>
      <c r="B227" s="96" t="s">
        <v>582</v>
      </c>
      <c r="C227" s="97" t="s">
        <v>1441</v>
      </c>
      <c r="D227" s="360">
        <f>+ROUND('Alim CE Costi'!E199,2)</f>
        <v>0</v>
      </c>
      <c r="E227" s="360">
        <f>+ROUND('Alim CE Costi'!H199,2)</f>
        <v>0</v>
      </c>
      <c r="F227" s="303"/>
      <c r="G227" s="200"/>
      <c r="H227" s="91"/>
    </row>
    <row r="228" spans="1:8" ht="25.5">
      <c r="A228" s="193"/>
      <c r="B228" s="96" t="s">
        <v>584</v>
      </c>
      <c r="C228" s="97" t="s">
        <v>1442</v>
      </c>
      <c r="D228" s="360">
        <f>+ROUND('Alim CE Costi'!E201,2)</f>
        <v>0</v>
      </c>
      <c r="E228" s="360">
        <f>+ROUND('Alim CE Costi'!H201,2)</f>
        <v>0</v>
      </c>
      <c r="F228" s="303"/>
      <c r="G228" s="200"/>
      <c r="H228" s="91"/>
    </row>
    <row r="229" spans="1:8" ht="25.5">
      <c r="A229" s="193"/>
      <c r="B229" s="96" t="s">
        <v>586</v>
      </c>
      <c r="C229" s="97" t="s">
        <v>1443</v>
      </c>
      <c r="D229" s="360">
        <f>+ROUND('Alim CE Costi'!E203,2)</f>
        <v>0</v>
      </c>
      <c r="E229" s="360">
        <f>+ROUND('Alim CE Costi'!H203,2)</f>
        <v>0</v>
      </c>
      <c r="F229" s="303"/>
      <c r="G229" s="200"/>
      <c r="H229" s="91"/>
    </row>
    <row r="230" spans="1:8" ht="25.5">
      <c r="A230" s="193"/>
      <c r="B230" s="94" t="s">
        <v>587</v>
      </c>
      <c r="C230" s="95" t="s">
        <v>1444</v>
      </c>
      <c r="D230" s="360">
        <f>+ROUND('Alim CE Costi'!E205,2)</f>
        <v>0</v>
      </c>
      <c r="E230" s="360">
        <f>+ROUND('Alim CE Costi'!H205,2)</f>
        <v>0</v>
      </c>
      <c r="F230" s="303"/>
      <c r="G230" s="200"/>
      <c r="H230" s="91"/>
    </row>
    <row r="231" spans="1:8" ht="51">
      <c r="A231" s="193"/>
      <c r="B231" s="96" t="s">
        <v>589</v>
      </c>
      <c r="C231" s="97" t="s">
        <v>1445</v>
      </c>
      <c r="D231" s="360">
        <f>+ROUND('Alim CE Costi'!E207,2)</f>
        <v>0</v>
      </c>
      <c r="E231" s="360">
        <f>+ROUND('Alim CE Costi'!H207,2)</f>
        <v>0</v>
      </c>
      <c r="F231" s="303"/>
      <c r="G231" s="200"/>
      <c r="H231" s="91"/>
    </row>
    <row r="232" spans="1:8" ht="25.5">
      <c r="A232" s="191"/>
      <c r="B232" s="130" t="s">
        <v>590</v>
      </c>
      <c r="C232" s="131" t="s">
        <v>1446</v>
      </c>
      <c r="D232" s="359">
        <f t="shared" ref="D232" si="82">SUM(D233:D237)</f>
        <v>0</v>
      </c>
      <c r="E232" s="359">
        <f t="shared" ref="E232" si="83">SUM(E233:E237)</f>
        <v>0</v>
      </c>
      <c r="F232" s="59" t="s">
        <v>1835</v>
      </c>
      <c r="G232" s="200"/>
      <c r="H232" s="91"/>
    </row>
    <row r="233" spans="1:8" ht="25.5">
      <c r="A233" s="191" t="s">
        <v>1248</v>
      </c>
      <c r="B233" s="94" t="s">
        <v>591</v>
      </c>
      <c r="C233" s="95" t="s">
        <v>1447</v>
      </c>
      <c r="D233" s="360">
        <f>+ROUND('Alim CE Costi'!E210,2)</f>
        <v>0</v>
      </c>
      <c r="E233" s="360">
        <f>+ROUND('Alim CE Costi'!H210,2)</f>
        <v>0</v>
      </c>
      <c r="F233" s="59"/>
      <c r="G233" s="200"/>
      <c r="H233" s="91"/>
    </row>
    <row r="234" spans="1:8" ht="18.75">
      <c r="A234" s="191"/>
      <c r="B234" s="94" t="s">
        <v>592</v>
      </c>
      <c r="C234" s="95" t="s">
        <v>1448</v>
      </c>
      <c r="D234" s="360">
        <f>+ROUND('Alim CE Costi'!E212,2)</f>
        <v>0</v>
      </c>
      <c r="E234" s="360">
        <f>+ROUND('Alim CE Costi'!H212,2)</f>
        <v>0</v>
      </c>
      <c r="F234" s="59"/>
      <c r="G234" s="200"/>
      <c r="H234" s="91"/>
    </row>
    <row r="235" spans="1:8" ht="25.5">
      <c r="A235" s="191" t="s">
        <v>1297</v>
      </c>
      <c r="B235" s="94" t="s">
        <v>593</v>
      </c>
      <c r="C235" s="95" t="s">
        <v>1449</v>
      </c>
      <c r="D235" s="360">
        <f>+ROUND('Alim CE Costi'!E214,2)</f>
        <v>0</v>
      </c>
      <c r="E235" s="360">
        <f>+ROUND('Alim CE Costi'!H214,2)</f>
        <v>0</v>
      </c>
      <c r="F235" s="59"/>
      <c r="G235" s="200"/>
      <c r="H235" s="91"/>
    </row>
    <row r="236" spans="1:8" ht="18.75">
      <c r="A236" s="191"/>
      <c r="B236" s="94" t="s">
        <v>594</v>
      </c>
      <c r="C236" s="95" t="s">
        <v>1450</v>
      </c>
      <c r="D236" s="360">
        <f>+ROUND('Alim CE Costi'!E216+'Alim CE Costi'!E217,2)</f>
        <v>0</v>
      </c>
      <c r="E236" s="360">
        <f>+ROUND('Alim CE Costi'!H216+'Alim CE Costi'!H217,2)</f>
        <v>0</v>
      </c>
      <c r="F236" s="59"/>
      <c r="G236" s="200"/>
      <c r="H236" s="91"/>
    </row>
    <row r="237" spans="1:8" ht="18.75">
      <c r="A237" s="191"/>
      <c r="B237" s="94" t="s">
        <v>595</v>
      </c>
      <c r="C237" s="95" t="s">
        <v>1451</v>
      </c>
      <c r="D237" s="360">
        <f>+ROUND('Alim CE Costi'!E219+'Alim CE Costi'!E220,2)</f>
        <v>0</v>
      </c>
      <c r="E237" s="360">
        <f>+ROUND('Alim CE Costi'!H219+'Alim CE Costi'!H220,2)</f>
        <v>0</v>
      </c>
      <c r="F237" s="59"/>
      <c r="G237" s="200"/>
      <c r="H237" s="91"/>
    </row>
    <row r="238" spans="1:8" ht="25.5">
      <c r="A238" s="191"/>
      <c r="B238" s="130" t="s">
        <v>596</v>
      </c>
      <c r="C238" s="131" t="s">
        <v>1452</v>
      </c>
      <c r="D238" s="359">
        <f t="shared" ref="D238" si="84">SUM(D239:D242)</f>
        <v>0</v>
      </c>
      <c r="E238" s="359">
        <f t="shared" ref="E238" si="85">SUM(E239:E242)</f>
        <v>0</v>
      </c>
      <c r="F238" s="59" t="s">
        <v>1835</v>
      </c>
      <c r="G238" s="200"/>
      <c r="H238" s="91"/>
    </row>
    <row r="239" spans="1:8" ht="25.5">
      <c r="A239" s="191" t="s">
        <v>1248</v>
      </c>
      <c r="B239" s="94" t="s">
        <v>597</v>
      </c>
      <c r="C239" s="95" t="s">
        <v>1453</v>
      </c>
      <c r="D239" s="360">
        <f>+ROUND('Alim CE Costi'!E223,2)</f>
        <v>0</v>
      </c>
      <c r="E239" s="360">
        <f>+ROUND('Alim CE Costi'!H223,2)</f>
        <v>0</v>
      </c>
      <c r="F239" s="59"/>
      <c r="G239" s="200"/>
      <c r="H239" s="91"/>
    </row>
    <row r="240" spans="1:8" ht="18.75">
      <c r="A240" s="191"/>
      <c r="B240" s="94" t="s">
        <v>598</v>
      </c>
      <c r="C240" s="95" t="s">
        <v>1454</v>
      </c>
      <c r="D240" s="360">
        <f>+ROUND('Alim CE Costi'!E225,2)</f>
        <v>0</v>
      </c>
      <c r="E240" s="360">
        <f>+ROUND('Alim CE Costi'!H225,2)</f>
        <v>0</v>
      </c>
      <c r="F240" s="59"/>
      <c r="G240" s="200"/>
      <c r="H240" s="91"/>
    </row>
    <row r="241" spans="1:8" ht="18.75">
      <c r="A241" s="193" t="s">
        <v>1293</v>
      </c>
      <c r="B241" s="94" t="s">
        <v>599</v>
      </c>
      <c r="C241" s="95" t="s">
        <v>1455</v>
      </c>
      <c r="D241" s="360">
        <f>+ROUND('Alim CE Costi'!E227,2)</f>
        <v>0</v>
      </c>
      <c r="E241" s="360">
        <f>+ROUND('Alim CE Costi'!H227,2)</f>
        <v>0</v>
      </c>
      <c r="F241" s="303"/>
      <c r="G241" s="200"/>
      <c r="H241" s="91"/>
    </row>
    <row r="242" spans="1:8" ht="18.75">
      <c r="A242" s="193"/>
      <c r="B242" s="94" t="s">
        <v>600</v>
      </c>
      <c r="C242" s="95" t="s">
        <v>1456</v>
      </c>
      <c r="D242" s="360">
        <f>+ROUND('Alim CE Costi'!E229+'Alim CE Costi'!E230+'Alim CE Costi'!E231,2)</f>
        <v>0</v>
      </c>
      <c r="E242" s="360">
        <f>+ROUND('Alim CE Costi'!H229+'Alim CE Costi'!H230+'Alim CE Costi'!H231,2)</f>
        <v>0</v>
      </c>
      <c r="F242" s="303"/>
      <c r="G242" s="200"/>
      <c r="H242" s="91"/>
    </row>
    <row r="243" spans="1:8" ht="25.5">
      <c r="A243" s="193"/>
      <c r="B243" s="130" t="s">
        <v>1457</v>
      </c>
      <c r="C243" s="131" t="s">
        <v>1458</v>
      </c>
      <c r="D243" s="359">
        <f t="shared" ref="D243" si="86">SUM(D244:D247)</f>
        <v>0</v>
      </c>
      <c r="E243" s="359">
        <f t="shared" ref="E243" si="87">SUM(E244:E247)</f>
        <v>0</v>
      </c>
      <c r="F243" s="59" t="s">
        <v>1835</v>
      </c>
      <c r="G243" s="200"/>
      <c r="H243" s="91"/>
    </row>
    <row r="244" spans="1:8" ht="25.5">
      <c r="A244" s="193" t="s">
        <v>1248</v>
      </c>
      <c r="B244" s="94" t="s">
        <v>605</v>
      </c>
      <c r="C244" s="95" t="s">
        <v>1459</v>
      </c>
      <c r="D244" s="360">
        <f>+ROUND('Alim CE Costi'!E234,2)</f>
        <v>0</v>
      </c>
      <c r="E244" s="360">
        <f>+ROUND('Alim CE Costi'!H234,2)</f>
        <v>0</v>
      </c>
      <c r="F244" s="303"/>
      <c r="G244" s="200"/>
      <c r="H244" s="91"/>
    </row>
    <row r="245" spans="1:8" ht="18.75">
      <c r="A245" s="193"/>
      <c r="B245" s="94" t="s">
        <v>606</v>
      </c>
      <c r="C245" s="95" t="s">
        <v>1460</v>
      </c>
      <c r="D245" s="360">
        <f>+ROUND('Alim CE Costi'!E236,2)</f>
        <v>0</v>
      </c>
      <c r="E245" s="360">
        <f>+ROUND('Alim CE Costi'!H236,2)</f>
        <v>0</v>
      </c>
      <c r="F245" s="303"/>
      <c r="G245" s="200"/>
      <c r="H245" s="91"/>
    </row>
    <row r="246" spans="1:8" ht="18.75">
      <c r="A246" s="193" t="s">
        <v>1293</v>
      </c>
      <c r="B246" s="94" t="s">
        <v>607</v>
      </c>
      <c r="C246" s="95" t="s">
        <v>1461</v>
      </c>
      <c r="D246" s="360">
        <f>+ROUND('Alim CE Costi'!E238,2)</f>
        <v>0</v>
      </c>
      <c r="E246" s="360">
        <f>+ROUND('Alim CE Costi'!H238,2)</f>
        <v>0</v>
      </c>
      <c r="F246" s="303"/>
      <c r="G246" s="200"/>
      <c r="H246" s="91"/>
    </row>
    <row r="247" spans="1:8" ht="18.75">
      <c r="A247" s="193"/>
      <c r="B247" s="94" t="s">
        <v>608</v>
      </c>
      <c r="C247" s="95" t="s">
        <v>1462</v>
      </c>
      <c r="D247" s="360">
        <f>+ROUND('Alim CE Costi'!E240+'Alim CE Costi'!E241,2)</f>
        <v>0</v>
      </c>
      <c r="E247" s="360">
        <f>+ROUND('Alim CE Costi'!H240+'Alim CE Costi'!H241,2)</f>
        <v>0</v>
      </c>
      <c r="F247" s="303"/>
      <c r="G247" s="200"/>
      <c r="H247" s="91"/>
    </row>
    <row r="248" spans="1:8" ht="25.5">
      <c r="A248" s="193"/>
      <c r="B248" s="130" t="s">
        <v>611</v>
      </c>
      <c r="C248" s="131" t="s">
        <v>1463</v>
      </c>
      <c r="D248" s="359">
        <f t="shared" ref="D248" si="88">SUM(D249:D252,D257)</f>
        <v>0</v>
      </c>
      <c r="E248" s="359">
        <f t="shared" ref="E248" si="89">SUM(E249:E252,E257)</f>
        <v>0</v>
      </c>
      <c r="F248" s="59" t="s">
        <v>1835</v>
      </c>
      <c r="G248" s="200"/>
      <c r="H248" s="91"/>
    </row>
    <row r="249" spans="1:8" ht="25.5">
      <c r="A249" s="193" t="s">
        <v>1248</v>
      </c>
      <c r="B249" s="94" t="s">
        <v>612</v>
      </c>
      <c r="C249" s="95" t="s">
        <v>1464</v>
      </c>
      <c r="D249" s="360">
        <f>+ROUND('Alim CE Costi'!E244+'Alim CE Costi'!E245,2)</f>
        <v>0</v>
      </c>
      <c r="E249" s="360">
        <f>+ROUND('Alim CE Costi'!H244+'Alim CE Costi'!H245,2)</f>
        <v>0</v>
      </c>
      <c r="F249" s="303"/>
      <c r="G249" s="200"/>
      <c r="H249" s="91"/>
    </row>
    <row r="250" spans="1:8" ht="18.75">
      <c r="A250" s="193"/>
      <c r="B250" s="94" t="s">
        <v>615</v>
      </c>
      <c r="C250" s="95" t="s">
        <v>1465</v>
      </c>
      <c r="D250" s="360">
        <f>+ROUND('Alim CE Costi'!E247,2)</f>
        <v>0</v>
      </c>
      <c r="E250" s="360">
        <f>+ROUND('Alim CE Costi'!H247,2)</f>
        <v>0</v>
      </c>
      <c r="F250" s="303"/>
      <c r="G250" s="200"/>
      <c r="H250" s="91"/>
    </row>
    <row r="251" spans="1:8" ht="18.75">
      <c r="A251" s="193" t="s">
        <v>1293</v>
      </c>
      <c r="B251" s="94" t="s">
        <v>616</v>
      </c>
      <c r="C251" s="95" t="s">
        <v>1466</v>
      </c>
      <c r="D251" s="360">
        <f>+ROUND('Alim CE Costi'!E249,2)</f>
        <v>0</v>
      </c>
      <c r="E251" s="360">
        <f>+ROUND('Alim CE Costi'!H249,2)</f>
        <v>0</v>
      </c>
      <c r="F251" s="303"/>
      <c r="G251" s="200"/>
      <c r="H251" s="91"/>
    </row>
    <row r="252" spans="1:8" ht="18.75">
      <c r="A252" s="193"/>
      <c r="B252" s="125" t="s">
        <v>619</v>
      </c>
      <c r="C252" s="126" t="s">
        <v>1467</v>
      </c>
      <c r="D252" s="361">
        <f t="shared" ref="D252" si="90">SUM(D253:D256)</f>
        <v>0</v>
      </c>
      <c r="E252" s="361">
        <f t="shared" ref="E252" si="91">SUM(E253:E256)</f>
        <v>0</v>
      </c>
      <c r="F252" s="59" t="s">
        <v>1835</v>
      </c>
      <c r="G252" s="200"/>
      <c r="H252" s="91"/>
    </row>
    <row r="253" spans="1:8" ht="25.5">
      <c r="A253" s="193"/>
      <c r="B253" s="96" t="s">
        <v>621</v>
      </c>
      <c r="C253" s="97" t="s">
        <v>1468</v>
      </c>
      <c r="D253" s="360">
        <f>+ROUND('Alim CE Costi'!E252,2)</f>
        <v>0</v>
      </c>
      <c r="E253" s="360">
        <f>+ROUND('Alim CE Costi'!H252,2)</f>
        <v>0</v>
      </c>
      <c r="F253" s="303"/>
      <c r="G253" s="200"/>
      <c r="H253" s="91"/>
    </row>
    <row r="254" spans="1:8" ht="25.5">
      <c r="A254" s="193"/>
      <c r="B254" s="96" t="s">
        <v>623</v>
      </c>
      <c r="C254" s="97" t="s">
        <v>1469</v>
      </c>
      <c r="D254" s="360">
        <f>+ROUND('Alim CE Costi'!E254,2)</f>
        <v>0</v>
      </c>
      <c r="E254" s="360">
        <f>+ROUND('Alim CE Costi'!H254,2)</f>
        <v>0</v>
      </c>
      <c r="F254" s="303"/>
      <c r="G254" s="200"/>
      <c r="H254" s="91"/>
    </row>
    <row r="255" spans="1:8" ht="25.5">
      <c r="A255" s="193"/>
      <c r="B255" s="96" t="s">
        <v>625</v>
      </c>
      <c r="C255" s="97" t="s">
        <v>1470</v>
      </c>
      <c r="D255" s="360">
        <f>+ROUND('Alim CE Costi'!E256,2)</f>
        <v>0</v>
      </c>
      <c r="E255" s="360">
        <f>+ROUND('Alim CE Costi'!H256,2)</f>
        <v>0</v>
      </c>
      <c r="F255" s="303"/>
      <c r="G255" s="200"/>
      <c r="H255" s="91"/>
    </row>
    <row r="256" spans="1:8" ht="25.5">
      <c r="A256" s="193"/>
      <c r="B256" s="96" t="s">
        <v>627</v>
      </c>
      <c r="C256" s="97" t="s">
        <v>1471</v>
      </c>
      <c r="D256" s="360">
        <f>+ROUND('Alim CE Costi'!E258,2)</f>
        <v>0</v>
      </c>
      <c r="E256" s="360">
        <f>+ROUND('Alim CE Costi'!H258,2)</f>
        <v>0</v>
      </c>
      <c r="F256" s="303"/>
      <c r="G256" s="200"/>
      <c r="H256" s="91"/>
    </row>
    <row r="257" spans="1:8" ht="25.5">
      <c r="A257" s="193"/>
      <c r="B257" s="94" t="s">
        <v>628</v>
      </c>
      <c r="C257" s="95" t="s">
        <v>1472</v>
      </c>
      <c r="D257" s="360">
        <f>+ROUND('Alim CE Costi'!E260,2)</f>
        <v>0</v>
      </c>
      <c r="E257" s="360">
        <f>+ROUND('Alim CE Costi'!H260,2)</f>
        <v>0</v>
      </c>
      <c r="F257" s="303"/>
      <c r="G257" s="200"/>
      <c r="H257" s="91"/>
    </row>
    <row r="258" spans="1:8" ht="25.5">
      <c r="A258" s="193"/>
      <c r="B258" s="130" t="s">
        <v>629</v>
      </c>
      <c r="C258" s="131" t="s">
        <v>1473</v>
      </c>
      <c r="D258" s="359">
        <f t="shared" ref="D258" si="92">SUM(D259:D263)</f>
        <v>0</v>
      </c>
      <c r="E258" s="359">
        <f t="shared" ref="E258" si="93">SUM(E259:E263)</f>
        <v>0</v>
      </c>
      <c r="F258" s="59" t="s">
        <v>1835</v>
      </c>
      <c r="G258" s="200"/>
      <c r="H258" s="91"/>
    </row>
    <row r="259" spans="1:8" ht="25.5">
      <c r="A259" s="193" t="s">
        <v>1248</v>
      </c>
      <c r="B259" s="94" t="s">
        <v>630</v>
      </c>
      <c r="C259" s="95" t="s">
        <v>1474</v>
      </c>
      <c r="D259" s="360">
        <f>+ROUND('Alim CE Costi'!E263,2)</f>
        <v>0</v>
      </c>
      <c r="E259" s="360">
        <f>+ROUND('Alim CE Costi'!H263,2)</f>
        <v>0</v>
      </c>
      <c r="F259" s="303"/>
      <c r="G259" s="200"/>
      <c r="H259" s="91"/>
    </row>
    <row r="260" spans="1:8" ht="18.75">
      <c r="A260" s="191"/>
      <c r="B260" s="94" t="s">
        <v>631</v>
      </c>
      <c r="C260" s="95" t="s">
        <v>1475</v>
      </c>
      <c r="D260" s="360">
        <f>+ROUND('Alim CE Costi'!E265,2)</f>
        <v>0</v>
      </c>
      <c r="E260" s="360">
        <f>+ROUND('Alim CE Costi'!H265,2)</f>
        <v>0</v>
      </c>
      <c r="F260" s="59"/>
      <c r="G260" s="200"/>
      <c r="H260" s="91"/>
    </row>
    <row r="261" spans="1:8" ht="25.5">
      <c r="A261" s="191" t="s">
        <v>1297</v>
      </c>
      <c r="B261" s="94" t="s">
        <v>632</v>
      </c>
      <c r="C261" s="95" t="s">
        <v>1476</v>
      </c>
      <c r="D261" s="360">
        <f>+ROUND('Alim CE Costi'!E267,2)</f>
        <v>0</v>
      </c>
      <c r="E261" s="360">
        <f>+ROUND('Alim CE Costi'!H267,2)</f>
        <v>0</v>
      </c>
      <c r="F261" s="59"/>
      <c r="G261" s="200"/>
      <c r="H261" s="91"/>
    </row>
    <row r="262" spans="1:8" ht="18.75">
      <c r="A262" s="191"/>
      <c r="B262" s="94" t="s">
        <v>633</v>
      </c>
      <c r="C262" s="95" t="s">
        <v>1477</v>
      </c>
      <c r="D262" s="360">
        <f>+ROUND('Alim CE Costi'!E269,2)</f>
        <v>0</v>
      </c>
      <c r="E262" s="360">
        <f>+ROUND('Alim CE Costi'!H269,2)</f>
        <v>0</v>
      </c>
      <c r="F262" s="59"/>
      <c r="G262" s="200"/>
      <c r="H262" s="91"/>
    </row>
    <row r="263" spans="1:8" ht="18.75">
      <c r="A263" s="191"/>
      <c r="B263" s="94" t="s">
        <v>634</v>
      </c>
      <c r="C263" s="95" t="s">
        <v>1478</v>
      </c>
      <c r="D263" s="360">
        <f>+ROUND('Alim CE Costi'!E271,2)</f>
        <v>0</v>
      </c>
      <c r="E263" s="360">
        <f>+ROUND('Alim CE Costi'!H271,2)</f>
        <v>0</v>
      </c>
      <c r="F263" s="59"/>
      <c r="G263" s="200"/>
      <c r="H263" s="91"/>
    </row>
    <row r="264" spans="1:8" ht="25.5">
      <c r="A264" s="191"/>
      <c r="B264" s="130" t="s">
        <v>635</v>
      </c>
      <c r="C264" s="131" t="s">
        <v>1479</v>
      </c>
      <c r="D264" s="359">
        <f t="shared" ref="D264" si="94">SUM(D265:D270)</f>
        <v>0</v>
      </c>
      <c r="E264" s="359">
        <f t="shared" ref="E264" si="95">SUM(E265:E270)</f>
        <v>0</v>
      </c>
      <c r="F264" s="59" t="s">
        <v>1835</v>
      </c>
      <c r="G264" s="200"/>
      <c r="H264" s="91"/>
    </row>
    <row r="265" spans="1:8" ht="25.5">
      <c r="A265" s="191" t="s">
        <v>1248</v>
      </c>
      <c r="B265" s="94" t="s">
        <v>636</v>
      </c>
      <c r="C265" s="95" t="s">
        <v>1480</v>
      </c>
      <c r="D265" s="360">
        <f>+ROUND('Alim CE Costi'!E274+'Alim CE Costi'!E275,2)</f>
        <v>0</v>
      </c>
      <c r="E265" s="360">
        <f>+ROUND('Alim CE Costi'!H274+'Alim CE Costi'!H275,2)</f>
        <v>0</v>
      </c>
      <c r="F265" s="59"/>
      <c r="G265" s="200"/>
      <c r="H265" s="91"/>
    </row>
    <row r="266" spans="1:8" ht="18.75">
      <c r="A266" s="191"/>
      <c r="B266" s="94" t="s">
        <v>639</v>
      </c>
      <c r="C266" s="95" t="s">
        <v>1481</v>
      </c>
      <c r="D266" s="360">
        <f>+ROUND('Alim CE Costi'!E277,2)</f>
        <v>0</v>
      </c>
      <c r="E266" s="360">
        <f>+ROUND('Alim CE Costi'!H277,2)</f>
        <v>0</v>
      </c>
      <c r="F266" s="59"/>
      <c r="G266" s="200"/>
      <c r="H266" s="91"/>
    </row>
    <row r="267" spans="1:8" ht="18.75">
      <c r="A267" s="191" t="s">
        <v>1293</v>
      </c>
      <c r="B267" s="94" t="s">
        <v>640</v>
      </c>
      <c r="C267" s="95" t="s">
        <v>1482</v>
      </c>
      <c r="D267" s="360">
        <f>+ROUND('Alim CE Costi'!E279,2)</f>
        <v>0</v>
      </c>
      <c r="E267" s="360">
        <f>+ROUND('Alim CE Costi'!H279,2)</f>
        <v>0</v>
      </c>
      <c r="F267" s="59"/>
      <c r="G267" s="200"/>
      <c r="H267" s="91"/>
    </row>
    <row r="268" spans="1:8" ht="18.75">
      <c r="A268" s="191"/>
      <c r="B268" s="94" t="s">
        <v>641</v>
      </c>
      <c r="C268" s="95" t="s">
        <v>1483</v>
      </c>
      <c r="D268" s="360">
        <f>+ROUND('Alim CE Costi'!E281,2)</f>
        <v>0</v>
      </c>
      <c r="E268" s="360">
        <f>+ROUND('Alim CE Costi'!H281,2)</f>
        <v>0</v>
      </c>
      <c r="F268" s="59"/>
      <c r="G268" s="200"/>
      <c r="H268" s="91"/>
    </row>
    <row r="269" spans="1:8" ht="18.75">
      <c r="A269" s="191"/>
      <c r="B269" s="94" t="s">
        <v>642</v>
      </c>
      <c r="C269" s="95" t="s">
        <v>1484</v>
      </c>
      <c r="D269" s="360">
        <f>+ROUND('Alim CE Costi'!E283,2)</f>
        <v>0</v>
      </c>
      <c r="E269" s="360">
        <f>+ROUND('Alim CE Costi'!H283,2)</f>
        <v>0</v>
      </c>
      <c r="F269" s="59"/>
      <c r="G269" s="200"/>
      <c r="H269" s="91"/>
    </row>
    <row r="270" spans="1:8" ht="25.5">
      <c r="A270" s="191"/>
      <c r="B270" s="94" t="s">
        <v>643</v>
      </c>
      <c r="C270" s="95" t="s">
        <v>1485</v>
      </c>
      <c r="D270" s="360">
        <f>+ROUND('Alim CE Costi'!E285,2)</f>
        <v>0</v>
      </c>
      <c r="E270" s="360">
        <f>+ROUND('Alim CE Costi'!H285,2)</f>
        <v>0</v>
      </c>
      <c r="F270" s="59"/>
      <c r="G270" s="200"/>
      <c r="H270" s="91"/>
    </row>
    <row r="271" spans="1:8" ht="25.5">
      <c r="A271" s="191"/>
      <c r="B271" s="130" t="s">
        <v>644</v>
      </c>
      <c r="C271" s="131" t="s">
        <v>1486</v>
      </c>
      <c r="D271" s="359">
        <f t="shared" ref="D271" si="96">SUM(D272:D276)</f>
        <v>0</v>
      </c>
      <c r="E271" s="359">
        <f t="shared" ref="E271" si="97">SUM(E272:E276)</f>
        <v>0</v>
      </c>
      <c r="F271" s="59" t="s">
        <v>1835</v>
      </c>
      <c r="G271" s="200"/>
      <c r="H271" s="91"/>
    </row>
    <row r="272" spans="1:8" ht="25.5">
      <c r="A272" s="191" t="s">
        <v>1248</v>
      </c>
      <c r="B272" s="94" t="s">
        <v>645</v>
      </c>
      <c r="C272" s="95" t="s">
        <v>1487</v>
      </c>
      <c r="D272" s="360">
        <f>+ROUND('Alim CE Costi'!E288,2)</f>
        <v>0</v>
      </c>
      <c r="E272" s="360">
        <f>+ROUND('Alim CE Costi'!H288,2)</f>
        <v>0</v>
      </c>
      <c r="F272" s="59"/>
      <c r="G272" s="200"/>
      <c r="H272" s="91"/>
    </row>
    <row r="273" spans="1:8" ht="25.5">
      <c r="A273" s="191"/>
      <c r="B273" s="94" t="s">
        <v>646</v>
      </c>
      <c r="C273" s="95" t="s">
        <v>1488</v>
      </c>
      <c r="D273" s="360">
        <f>+ROUND('Alim CE Costi'!E290,2)</f>
        <v>0</v>
      </c>
      <c r="E273" s="360">
        <f>+ROUND('Alim CE Costi'!H290,2)</f>
        <v>0</v>
      </c>
      <c r="F273" s="59"/>
      <c r="G273" s="200"/>
      <c r="H273" s="91"/>
    </row>
    <row r="274" spans="1:8" ht="18.75">
      <c r="A274" s="191" t="s">
        <v>1293</v>
      </c>
      <c r="B274" s="94" t="s">
        <v>647</v>
      </c>
      <c r="C274" s="95" t="s">
        <v>1489</v>
      </c>
      <c r="D274" s="360">
        <f>+ROUND('Alim CE Costi'!E292,2)</f>
        <v>0</v>
      </c>
      <c r="E274" s="360">
        <f>+ROUND('Alim CE Costi'!H292,2)</f>
        <v>0</v>
      </c>
      <c r="F274" s="59"/>
      <c r="G274" s="200"/>
      <c r="H274" s="91"/>
    </row>
    <row r="275" spans="1:8" ht="18.75">
      <c r="A275" s="191"/>
      <c r="B275" s="94" t="s">
        <v>648</v>
      </c>
      <c r="C275" s="95" t="s">
        <v>1490</v>
      </c>
      <c r="D275" s="360">
        <f>+ROUND('Alim CE Costi'!E294,2)</f>
        <v>0</v>
      </c>
      <c r="E275" s="360">
        <f>+ROUND('Alim CE Costi'!H294,2)</f>
        <v>0</v>
      </c>
      <c r="F275" s="59"/>
      <c r="G275" s="200"/>
      <c r="H275" s="91"/>
    </row>
    <row r="276" spans="1:8" ht="25.5">
      <c r="A276" s="191"/>
      <c r="B276" s="94" t="s">
        <v>649</v>
      </c>
      <c r="C276" s="95" t="s">
        <v>1491</v>
      </c>
      <c r="D276" s="360">
        <f>+ROUND('Alim CE Costi'!E296,2)</f>
        <v>0</v>
      </c>
      <c r="E276" s="360">
        <f>+ROUND('Alim CE Costi'!H296,2)</f>
        <v>0</v>
      </c>
      <c r="F276" s="59"/>
      <c r="G276" s="200"/>
      <c r="H276" s="91"/>
    </row>
    <row r="277" spans="1:8" ht="25.5">
      <c r="A277" s="191"/>
      <c r="B277" s="130" t="s">
        <v>650</v>
      </c>
      <c r="C277" s="131" t="s">
        <v>1492</v>
      </c>
      <c r="D277" s="359">
        <f t="shared" ref="D277" si="98">SUM(D278:D281)</f>
        <v>0</v>
      </c>
      <c r="E277" s="359">
        <f t="shared" ref="E277" si="99">SUM(E278:E281)</f>
        <v>0</v>
      </c>
      <c r="F277" s="59" t="s">
        <v>1835</v>
      </c>
      <c r="G277" s="200"/>
      <c r="H277" s="91"/>
    </row>
    <row r="278" spans="1:8" ht="25.5">
      <c r="A278" s="191" t="s">
        <v>1248</v>
      </c>
      <c r="B278" s="94" t="s">
        <v>651</v>
      </c>
      <c r="C278" s="95" t="s">
        <v>1493</v>
      </c>
      <c r="D278" s="360">
        <f>+ROUND('Alim CE Costi'!E299,2)</f>
        <v>0</v>
      </c>
      <c r="E278" s="360">
        <f>+ROUND('Alim CE Costi'!H299,2)</f>
        <v>0</v>
      </c>
      <c r="F278" s="59"/>
      <c r="G278" s="200"/>
      <c r="H278" s="91"/>
    </row>
    <row r="279" spans="1:8" ht="25.5">
      <c r="A279" s="191"/>
      <c r="B279" s="94" t="s">
        <v>652</v>
      </c>
      <c r="C279" s="95" t="s">
        <v>1494</v>
      </c>
      <c r="D279" s="360">
        <f>+ROUND('Alim CE Costi'!E301,2)</f>
        <v>0</v>
      </c>
      <c r="E279" s="360">
        <f>+ROUND('Alim CE Costi'!H301,2)</f>
        <v>0</v>
      </c>
      <c r="F279" s="59"/>
      <c r="G279" s="200"/>
      <c r="H279" s="91"/>
    </row>
    <row r="280" spans="1:8" ht="18.75">
      <c r="A280" s="191" t="s">
        <v>1293</v>
      </c>
      <c r="B280" s="94" t="s">
        <v>653</v>
      </c>
      <c r="C280" s="95" t="s">
        <v>1495</v>
      </c>
      <c r="D280" s="360">
        <f>+ROUND('Alim CE Costi'!E303,2)</f>
        <v>0</v>
      </c>
      <c r="E280" s="360">
        <f>+ROUND('Alim CE Costi'!H303,2)</f>
        <v>0</v>
      </c>
      <c r="F280" s="59"/>
      <c r="G280" s="200"/>
      <c r="H280" s="91"/>
    </row>
    <row r="281" spans="1:8" ht="18.75">
      <c r="A281" s="191"/>
      <c r="B281" s="94" t="s">
        <v>654</v>
      </c>
      <c r="C281" s="95" t="s">
        <v>1496</v>
      </c>
      <c r="D281" s="360">
        <f>+ROUND('Alim CE Costi'!E305+'Alim CE Costi'!E306+'Alim CE Costi'!E307+'Alim CE Costi'!E308,2)</f>
        <v>0</v>
      </c>
      <c r="E281" s="360">
        <f>+ROUND('Alim CE Costi'!H305+'Alim CE Costi'!H306+'Alim CE Costi'!H307+'Alim CE Costi'!H308,2)</f>
        <v>0</v>
      </c>
      <c r="F281" s="59"/>
      <c r="G281" s="200"/>
      <c r="H281" s="91"/>
    </row>
    <row r="282" spans="1:8" ht="25.5">
      <c r="A282" s="191"/>
      <c r="B282" s="130" t="s">
        <v>659</v>
      </c>
      <c r="C282" s="131" t="s">
        <v>1497</v>
      </c>
      <c r="D282" s="359">
        <f t="shared" ref="D282" si="100">+D283+D286+D288+D289+D290+D287</f>
        <v>0</v>
      </c>
      <c r="E282" s="359">
        <f t="shared" ref="E282" si="101">+E283+E286+E288+E289+E290+E287</f>
        <v>0</v>
      </c>
      <c r="F282" s="59" t="s">
        <v>1835</v>
      </c>
      <c r="G282" s="200"/>
      <c r="H282" s="91"/>
    </row>
    <row r="283" spans="1:8" ht="25.5">
      <c r="A283" s="191" t="s">
        <v>1248</v>
      </c>
      <c r="B283" s="125" t="s">
        <v>660</v>
      </c>
      <c r="C283" s="126" t="s">
        <v>1498</v>
      </c>
      <c r="D283" s="361">
        <f t="shared" ref="D283" si="102">+D284+D285</f>
        <v>0</v>
      </c>
      <c r="E283" s="361">
        <f t="shared" ref="E283" si="103">+E284+E285</f>
        <v>0</v>
      </c>
      <c r="F283" s="59" t="s">
        <v>1835</v>
      </c>
      <c r="G283" s="200"/>
      <c r="H283" s="91"/>
    </row>
    <row r="284" spans="1:8" ht="18.75">
      <c r="A284" s="193" t="s">
        <v>1248</v>
      </c>
      <c r="B284" s="96" t="s">
        <v>662</v>
      </c>
      <c r="C284" s="97" t="s">
        <v>1499</v>
      </c>
      <c r="D284" s="360">
        <f>+ROUND('Alim CE Costi'!E312,2)</f>
        <v>0</v>
      </c>
      <c r="E284" s="360">
        <f>+ROUND('Alim CE Costi'!H312,2)</f>
        <v>0</v>
      </c>
      <c r="F284" s="303"/>
      <c r="G284" s="200"/>
      <c r="H284" s="91"/>
    </row>
    <row r="285" spans="1:8" ht="25.5">
      <c r="A285" s="193" t="s">
        <v>1248</v>
      </c>
      <c r="B285" s="96" t="s">
        <v>663</v>
      </c>
      <c r="C285" s="97" t="s">
        <v>1500</v>
      </c>
      <c r="D285" s="360">
        <f>+ROUND('Alim CE Costi'!E314,2)</f>
        <v>0</v>
      </c>
      <c r="E285" s="360">
        <f>+ROUND('Alim CE Costi'!H314,2)</f>
        <v>0</v>
      </c>
      <c r="F285" s="303"/>
      <c r="G285" s="200"/>
      <c r="H285" s="91"/>
    </row>
    <row r="286" spans="1:8" ht="25.5">
      <c r="A286" s="191"/>
      <c r="B286" s="94" t="s">
        <v>664</v>
      </c>
      <c r="C286" s="95" t="s">
        <v>1501</v>
      </c>
      <c r="D286" s="360">
        <f>+ROUND('Alim CE Costi'!E316+'Alim CE Costi'!E317+'Alim CE Costi'!E318+'Alim CE Costi'!E319,2)</f>
        <v>0</v>
      </c>
      <c r="E286" s="360">
        <f>+ROUND('Alim CE Costi'!H316+'Alim CE Costi'!H317+'Alim CE Costi'!H318+'Alim CE Costi'!H319,2)</f>
        <v>0</v>
      </c>
      <c r="F286" s="59"/>
      <c r="G286" s="200"/>
      <c r="H286" s="91"/>
    </row>
    <row r="287" spans="1:8" ht="38.25">
      <c r="A287" s="191" t="s">
        <v>1293</v>
      </c>
      <c r="B287" s="94" t="s">
        <v>669</v>
      </c>
      <c r="C287" s="95" t="s">
        <v>1502</v>
      </c>
      <c r="D287" s="360">
        <f>+ROUND('Alim CE Costi'!E321,2)</f>
        <v>0</v>
      </c>
      <c r="E287" s="360">
        <f>+ROUND('Alim CE Costi'!H321,2)</f>
        <v>0</v>
      </c>
      <c r="F287" s="59"/>
      <c r="G287" s="200"/>
      <c r="H287" s="91"/>
    </row>
    <row r="288" spans="1:8" ht="25.5">
      <c r="A288" s="191" t="s">
        <v>1297</v>
      </c>
      <c r="B288" s="94" t="s">
        <v>670</v>
      </c>
      <c r="C288" s="95" t="s">
        <v>1503</v>
      </c>
      <c r="D288" s="360">
        <f>+ROUND('Alim CE Costi'!E323+'Alim CE Costi'!E324+'Alim CE Costi'!E325,2)</f>
        <v>0</v>
      </c>
      <c r="E288" s="360">
        <f>+ROUND('Alim CE Costi'!H323+'Alim CE Costi'!H324+'Alim CE Costi'!H325,2)</f>
        <v>0</v>
      </c>
      <c r="F288" s="59"/>
      <c r="G288" s="200"/>
      <c r="H288" s="91"/>
    </row>
    <row r="289" spans="1:8" ht="18.75">
      <c r="A289" s="191"/>
      <c r="B289" s="94" t="s">
        <v>671</v>
      </c>
      <c r="C289" s="95" t="s">
        <v>1504</v>
      </c>
      <c r="D289" s="360">
        <f>+ROUND('Alim CE Costi'!E327+'Alim CE Costi'!E328+'Alim CE Costi'!E329+'Alim CE Costi'!E330+'Alim CE Costi'!E331+'Alim CE Costi'!E332+'Alim CE Costi'!E333+'Alim CE Costi'!E334,2)</f>
        <v>0</v>
      </c>
      <c r="E289" s="360">
        <f>+ROUND('Alim CE Costi'!H327+'Alim CE Costi'!H328+'Alim CE Costi'!H329+'Alim CE Costi'!H330+'Alim CE Costi'!H331+'Alim CE Costi'!H332+'Alim CE Costi'!H333+'Alim CE Costi'!H334,2)</f>
        <v>0</v>
      </c>
      <c r="F289" s="59"/>
      <c r="G289" s="200"/>
      <c r="H289" s="91"/>
    </row>
    <row r="290" spans="1:8" ht="18.75">
      <c r="A290" s="191"/>
      <c r="B290" s="94" t="s">
        <v>676</v>
      </c>
      <c r="C290" s="95" t="s">
        <v>1505</v>
      </c>
      <c r="D290" s="360">
        <f>+ROUND('Alim CE Costi'!E336+'Alim CE Costi'!E337,2)</f>
        <v>0</v>
      </c>
      <c r="E290" s="360">
        <f>+ROUND('Alim CE Costi'!H336+'Alim CE Costi'!H337,2)</f>
        <v>0</v>
      </c>
      <c r="F290" s="59"/>
      <c r="G290" s="200"/>
      <c r="H290" s="91"/>
    </row>
    <row r="291" spans="1:8" ht="25.5">
      <c r="A291" s="191"/>
      <c r="B291" s="130" t="s">
        <v>678</v>
      </c>
      <c r="C291" s="131" t="s">
        <v>1506</v>
      </c>
      <c r="D291" s="359">
        <f t="shared" ref="D291" si="104">SUM(D292:D298)</f>
        <v>0</v>
      </c>
      <c r="E291" s="359">
        <f t="shared" ref="E291" si="105">SUM(E292:E298)</f>
        <v>4399.26</v>
      </c>
      <c r="F291" s="59" t="s">
        <v>1835</v>
      </c>
      <c r="G291" s="200"/>
      <c r="H291" s="91"/>
    </row>
    <row r="292" spans="1:8" ht="25.5">
      <c r="A292" s="191"/>
      <c r="B292" s="94" t="s">
        <v>680</v>
      </c>
      <c r="C292" s="95" t="s">
        <v>1507</v>
      </c>
      <c r="D292" s="360">
        <f>+ROUND('Alim CE Costi'!E340,2)</f>
        <v>0</v>
      </c>
      <c r="E292" s="360">
        <f>+ROUND('Alim CE Costi'!H340,2)</f>
        <v>0</v>
      </c>
      <c r="F292" s="59"/>
      <c r="G292" s="200"/>
      <c r="H292" s="91"/>
    </row>
    <row r="293" spans="1:8" ht="25.5">
      <c r="A293" s="191"/>
      <c r="B293" s="94" t="s">
        <v>682</v>
      </c>
      <c r="C293" s="95" t="s">
        <v>1508</v>
      </c>
      <c r="D293" s="360">
        <f>+ROUND('Alim CE Costi'!E342,2)</f>
        <v>0</v>
      </c>
      <c r="E293" s="360">
        <f>+ROUND('Alim CE Costi'!H342,2)</f>
        <v>0</v>
      </c>
      <c r="F293" s="59"/>
      <c r="G293" s="200"/>
      <c r="H293" s="91"/>
    </row>
    <row r="294" spans="1:8" ht="25.5">
      <c r="A294" s="191"/>
      <c r="B294" s="94" t="s">
        <v>684</v>
      </c>
      <c r="C294" s="95" t="s">
        <v>1509</v>
      </c>
      <c r="D294" s="360">
        <f>+ROUND('Alim CE Costi'!E344,2)</f>
        <v>0</v>
      </c>
      <c r="E294" s="360">
        <f>+ROUND('Alim CE Costi'!H344,2)</f>
        <v>0</v>
      </c>
      <c r="F294" s="59"/>
      <c r="G294" s="200"/>
      <c r="H294" s="91"/>
    </row>
    <row r="295" spans="1:8" ht="38.25">
      <c r="A295" s="191"/>
      <c r="B295" s="94" t="s">
        <v>685</v>
      </c>
      <c r="C295" s="95" t="s">
        <v>1510</v>
      </c>
      <c r="D295" s="360">
        <f>+ROUND('Alim CE Costi'!E346+'Alim CE Costi'!E347+'Alim CE Costi'!E348+'Alim CE Costi'!E349,2)</f>
        <v>0</v>
      </c>
      <c r="E295" s="360">
        <f>+ROUND('Alim CE Costi'!H346+'Alim CE Costi'!H347+'Alim CE Costi'!H348+'Alim CE Costi'!H349,2)</f>
        <v>0</v>
      </c>
      <c r="F295" s="59"/>
      <c r="G295" s="200"/>
      <c r="H295" s="91"/>
    </row>
    <row r="296" spans="1:8" ht="51">
      <c r="A296" s="191" t="s">
        <v>1248</v>
      </c>
      <c r="B296" s="94" t="s">
        <v>689</v>
      </c>
      <c r="C296" s="95" t="s">
        <v>1511</v>
      </c>
      <c r="D296" s="360">
        <f>+ROUND('Alim CE Costi'!E351+'Alim CE Costi'!E352+'Alim CE Costi'!E353+'Alim CE Costi'!E354,2)</f>
        <v>0</v>
      </c>
      <c r="E296" s="360">
        <f>+ROUND('Alim CE Costi'!H351+'Alim CE Costi'!H352+'Alim CE Costi'!H353+'Alim CE Costi'!H354,2)</f>
        <v>0</v>
      </c>
      <c r="F296" s="59"/>
      <c r="G296" s="200"/>
      <c r="H296" s="91"/>
    </row>
    <row r="297" spans="1:8" ht="25.5">
      <c r="A297" s="191"/>
      <c r="B297" s="94" t="s">
        <v>690</v>
      </c>
      <c r="C297" s="95" t="s">
        <v>1512</v>
      </c>
      <c r="D297" s="360">
        <f>+ROUND(SUM('Alim CE Costi'!E356:E366),2)</f>
        <v>0</v>
      </c>
      <c r="E297" s="360">
        <f>+ROUND(SUM('Alim CE Costi'!H356:H366),2)</f>
        <v>4399.26</v>
      </c>
      <c r="F297" s="59"/>
      <c r="G297" s="200"/>
      <c r="H297" s="91"/>
    </row>
    <row r="298" spans="1:8" ht="38.25">
      <c r="A298" s="191" t="s">
        <v>1248</v>
      </c>
      <c r="B298" s="94" t="s">
        <v>697</v>
      </c>
      <c r="C298" s="95" t="s">
        <v>1513</v>
      </c>
      <c r="D298" s="360">
        <f>+ROUND(SUM('Alim CE Costi'!E368:E376),2)</f>
        <v>0</v>
      </c>
      <c r="E298" s="360">
        <f>+ROUND(SUM('Alim CE Costi'!H368:H376),2)</f>
        <v>0</v>
      </c>
      <c r="F298" s="59"/>
      <c r="G298" s="200"/>
      <c r="H298" s="91"/>
    </row>
    <row r="299" spans="1:8" ht="18.75">
      <c r="A299" s="191"/>
      <c r="B299" s="130" t="s">
        <v>698</v>
      </c>
      <c r="C299" s="131" t="s">
        <v>1514</v>
      </c>
      <c r="D299" s="359">
        <f t="shared" ref="D299" si="106">SUM(D300:D306)</f>
        <v>15913358.43</v>
      </c>
      <c r="E299" s="359">
        <f t="shared" ref="E299" si="107">SUM(E300:E306)</f>
        <v>5081023.0600000005</v>
      </c>
      <c r="F299" s="59" t="s">
        <v>1835</v>
      </c>
      <c r="G299" s="200"/>
      <c r="H299" s="91"/>
    </row>
    <row r="300" spans="1:8" ht="18.75">
      <c r="A300" s="191"/>
      <c r="B300" s="94" t="s">
        <v>700</v>
      </c>
      <c r="C300" s="95" t="s">
        <v>1515</v>
      </c>
      <c r="D300" s="360">
        <f>+ROUND('Alim CE Costi'!E379,2)</f>
        <v>2936718.89</v>
      </c>
      <c r="E300" s="360">
        <f>+ROUND('Alim CE Costi'!H379,2)</f>
        <v>2275663.12</v>
      </c>
      <c r="F300" s="59"/>
      <c r="G300" s="200"/>
      <c r="H300" s="91"/>
    </row>
    <row r="301" spans="1:8" ht="18.75">
      <c r="A301" s="191"/>
      <c r="B301" s="94" t="s">
        <v>702</v>
      </c>
      <c r="C301" s="95" t="s">
        <v>1516</v>
      </c>
      <c r="D301" s="360">
        <f>+ROUND('Alim CE Costi'!E381,2)</f>
        <v>0</v>
      </c>
      <c r="E301" s="360">
        <f>+ROUND('Alim CE Costi'!H381,2)</f>
        <v>0</v>
      </c>
      <c r="F301" s="59"/>
      <c r="G301" s="200"/>
      <c r="H301" s="91"/>
    </row>
    <row r="302" spans="1:8" ht="25.5">
      <c r="A302" s="191"/>
      <c r="B302" s="94" t="s">
        <v>704</v>
      </c>
      <c r="C302" s="95" t="s">
        <v>1517</v>
      </c>
      <c r="D302" s="360">
        <f>+ROUND('Alim CE Costi'!E383,2)</f>
        <v>0</v>
      </c>
      <c r="E302" s="360">
        <f>+ROUND('Alim CE Costi'!H383,2)</f>
        <v>0</v>
      </c>
      <c r="F302" s="59"/>
      <c r="G302" s="200"/>
      <c r="H302" s="91"/>
    </row>
    <row r="303" spans="1:8" ht="18.75">
      <c r="A303" s="191"/>
      <c r="B303" s="94" t="s">
        <v>706</v>
      </c>
      <c r="C303" s="95" t="s">
        <v>1518</v>
      </c>
      <c r="D303" s="360">
        <f>+ROUND('Alim CE Costi'!E385,2)</f>
        <v>0</v>
      </c>
      <c r="E303" s="360">
        <f>+ROUND('Alim CE Costi'!H385,2)</f>
        <v>0</v>
      </c>
      <c r="F303" s="59"/>
      <c r="G303" s="200"/>
      <c r="H303" s="91"/>
    </row>
    <row r="304" spans="1:8" ht="18.75">
      <c r="A304" s="191"/>
      <c r="B304" s="94" t="s">
        <v>708</v>
      </c>
      <c r="C304" s="95" t="s">
        <v>1519</v>
      </c>
      <c r="D304" s="360">
        <f>+ROUND(SUM('Alim CE Costi'!E387:E396),2)</f>
        <v>298068.2</v>
      </c>
      <c r="E304" s="360">
        <f>+ROUND(SUM('Alim CE Costi'!H387:H396),2)</f>
        <v>130011.4</v>
      </c>
      <c r="F304" s="59"/>
      <c r="G304" s="200"/>
      <c r="H304" s="91"/>
    </row>
    <row r="305" spans="1:8" ht="25.5">
      <c r="A305" s="191" t="s">
        <v>1248</v>
      </c>
      <c r="B305" s="94" t="s">
        <v>718</v>
      </c>
      <c r="C305" s="95" t="s">
        <v>1520</v>
      </c>
      <c r="D305" s="360">
        <f>+ROUND('Alim CE Costi'!E398+'Alim CE Costi'!E399,2)</f>
        <v>12678571.34</v>
      </c>
      <c r="E305" s="360">
        <f>+ROUND('Alim CE Costi'!H398+'Alim CE Costi'!H399,2)</f>
        <v>2675348.54</v>
      </c>
      <c r="F305" s="59"/>
      <c r="G305" s="200"/>
      <c r="H305" s="91"/>
    </row>
    <row r="306" spans="1:8" ht="18.75">
      <c r="A306" s="191" t="s">
        <v>1248</v>
      </c>
      <c r="B306" s="94" t="s">
        <v>722</v>
      </c>
      <c r="C306" s="95" t="s">
        <v>1521</v>
      </c>
      <c r="D306" s="360">
        <f>+ROUND('Alim CE Costi'!E401,2)</f>
        <v>0</v>
      </c>
      <c r="E306" s="360">
        <f>+ROUND('Alim CE Costi'!H401,2)</f>
        <v>0</v>
      </c>
      <c r="F306" s="59"/>
      <c r="G306" s="200"/>
      <c r="H306" s="100"/>
    </row>
    <row r="307" spans="1:8" ht="25.5">
      <c r="A307" s="191"/>
      <c r="B307" s="130" t="s">
        <v>723</v>
      </c>
      <c r="C307" s="131" t="s">
        <v>1522</v>
      </c>
      <c r="D307" s="359">
        <f t="shared" ref="D307" si="108">SUM(D308:D310,D317)</f>
        <v>2035549.8800000001</v>
      </c>
      <c r="E307" s="359">
        <f t="shared" ref="E307" si="109">SUM(E308:E310,E317)</f>
        <v>2066765.1900000002</v>
      </c>
      <c r="F307" s="59" t="s">
        <v>1835</v>
      </c>
      <c r="G307" s="200"/>
      <c r="H307" s="91"/>
    </row>
    <row r="308" spans="1:8" ht="25.5">
      <c r="A308" s="193" t="s">
        <v>1248</v>
      </c>
      <c r="B308" s="94" t="s">
        <v>725</v>
      </c>
      <c r="C308" s="95" t="s">
        <v>1523</v>
      </c>
      <c r="D308" s="360">
        <f>+ROUND('Alim CE Costi'!E404,2)</f>
        <v>13763.97</v>
      </c>
      <c r="E308" s="360">
        <f>+ROUND('Alim CE Costi'!H404,2)</f>
        <v>49195.58</v>
      </c>
      <c r="F308" s="303"/>
      <c r="G308" s="200"/>
      <c r="H308" s="91"/>
    </row>
    <row r="309" spans="1:8" ht="25.5">
      <c r="A309" s="193"/>
      <c r="B309" s="94" t="s">
        <v>727</v>
      </c>
      <c r="C309" s="95" t="s">
        <v>1524</v>
      </c>
      <c r="D309" s="360">
        <f>+ROUND('Alim CE Costi'!E406,2)</f>
        <v>250857.16</v>
      </c>
      <c r="E309" s="360">
        <f>+ROUND('Alim CE Costi'!H406,2)</f>
        <v>0</v>
      </c>
      <c r="F309" s="303"/>
      <c r="G309" s="200"/>
      <c r="H309" s="91"/>
    </row>
    <row r="310" spans="1:8" ht="25.5">
      <c r="A310" s="193"/>
      <c r="B310" s="125" t="s">
        <v>728</v>
      </c>
      <c r="C310" s="126" t="s">
        <v>1525</v>
      </c>
      <c r="D310" s="361">
        <f t="shared" ref="D310" si="110">SUM(D311:D316)</f>
        <v>1715126.24</v>
      </c>
      <c r="E310" s="361">
        <f t="shared" ref="E310" si="111">SUM(E311:E316)</f>
        <v>1885616.8</v>
      </c>
      <c r="F310" s="59" t="s">
        <v>1835</v>
      </c>
      <c r="G310" s="200"/>
      <c r="H310" s="91"/>
    </row>
    <row r="311" spans="1:8" ht="25.5">
      <c r="A311" s="193"/>
      <c r="B311" s="96" t="s">
        <v>730</v>
      </c>
      <c r="C311" s="97" t="s">
        <v>1526</v>
      </c>
      <c r="D311" s="360">
        <f>+ROUND('Alim CE Costi'!E409,2)</f>
        <v>0</v>
      </c>
      <c r="E311" s="360">
        <f>+ROUND('Alim CE Costi'!H409,2)</f>
        <v>0</v>
      </c>
      <c r="F311" s="303"/>
      <c r="G311" s="200"/>
      <c r="H311" s="91"/>
    </row>
    <row r="312" spans="1:8" ht="25.5">
      <c r="A312" s="193"/>
      <c r="B312" s="96" t="s">
        <v>731</v>
      </c>
      <c r="C312" s="97" t="s">
        <v>1527</v>
      </c>
      <c r="D312" s="360">
        <f>+ROUND('Alim CE Costi'!E411+'Alim CE Costi'!E413+'Alim CE Costi'!E412,2)</f>
        <v>171510</v>
      </c>
      <c r="E312" s="360">
        <f>+ROUND('Alim CE Costi'!H411+'Alim CE Costi'!H413+'Alim CE Costi'!H412,2)</f>
        <v>170832.5</v>
      </c>
      <c r="F312" s="303"/>
      <c r="G312" s="200"/>
      <c r="H312" s="91"/>
    </row>
    <row r="313" spans="1:8" ht="25.5">
      <c r="A313" s="193"/>
      <c r="B313" s="96" t="s">
        <v>735</v>
      </c>
      <c r="C313" s="97" t="s">
        <v>1528</v>
      </c>
      <c r="D313" s="360">
        <f>+ROUND('Alim CE Costi'!E415+'Alim CE Costi'!E416+'Alim CE Costi'!E417+'Alim CE Costi'!E418,2)</f>
        <v>0</v>
      </c>
      <c r="E313" s="360">
        <f>+ROUND('Alim CE Costi'!H415+'Alim CE Costi'!H416+'Alim CE Costi'!H417+'Alim CE Costi'!H418,2)</f>
        <v>0</v>
      </c>
      <c r="F313" s="303"/>
      <c r="G313" s="200"/>
      <c r="H313" s="91"/>
    </row>
    <row r="314" spans="1:8" ht="25.5">
      <c r="A314" s="193"/>
      <c r="B314" s="96" t="s">
        <v>740</v>
      </c>
      <c r="C314" s="97" t="s">
        <v>1529</v>
      </c>
      <c r="D314" s="360">
        <f>+ROUND(SUM('Alim CE Costi'!E420:E425),2)</f>
        <v>0</v>
      </c>
      <c r="E314" s="360">
        <f>+ROUND(SUM('Alim CE Costi'!H420:H425),2)</f>
        <v>0</v>
      </c>
      <c r="F314" s="303"/>
      <c r="G314" s="200"/>
      <c r="H314" s="91"/>
    </row>
    <row r="315" spans="1:8" ht="18.75">
      <c r="A315" s="193"/>
      <c r="B315" s="96" t="s">
        <v>741</v>
      </c>
      <c r="C315" s="97" t="s">
        <v>1530</v>
      </c>
      <c r="D315" s="360">
        <f>+ROUND('Alim CE Costi'!E427,2)</f>
        <v>0</v>
      </c>
      <c r="E315" s="360">
        <f>+ROUND('Alim CE Costi'!H427,2)</f>
        <v>0</v>
      </c>
      <c r="F315" s="303"/>
      <c r="G315" s="200"/>
      <c r="H315" s="91"/>
    </row>
    <row r="316" spans="1:8" ht="25.5">
      <c r="A316" s="193"/>
      <c r="B316" s="96" t="s">
        <v>742</v>
      </c>
      <c r="C316" s="97" t="s">
        <v>1531</v>
      </c>
      <c r="D316" s="360">
        <f>+ROUND(SUM('Alim CE Costi'!E429:E437),2)</f>
        <v>1543616.24</v>
      </c>
      <c r="E316" s="360">
        <f>+ROUND(SUM('Alim CE Costi'!H429:H437),2)</f>
        <v>1714784.3</v>
      </c>
      <c r="F316" s="303"/>
      <c r="G316" s="200"/>
      <c r="H316" s="91"/>
    </row>
    <row r="317" spans="1:8" ht="25.5">
      <c r="A317" s="193"/>
      <c r="B317" s="125" t="s">
        <v>751</v>
      </c>
      <c r="C317" s="126" t="s">
        <v>1532</v>
      </c>
      <c r="D317" s="361">
        <f t="shared" ref="D317" si="112">SUM(D318:D320)</f>
        <v>55802.51</v>
      </c>
      <c r="E317" s="361">
        <f t="shared" ref="E317" si="113">SUM(E318:E320)</f>
        <v>131952.81</v>
      </c>
      <c r="F317" s="59" t="s">
        <v>1835</v>
      </c>
      <c r="G317" s="200"/>
      <c r="H317" s="91"/>
    </row>
    <row r="318" spans="1:8" ht="25.5">
      <c r="A318" s="193" t="s">
        <v>1248</v>
      </c>
      <c r="B318" s="96" t="s">
        <v>753</v>
      </c>
      <c r="C318" s="97" t="s">
        <v>1533</v>
      </c>
      <c r="D318" s="360">
        <f>+ROUND('Alim CE Costi'!E440,2)</f>
        <v>55802.51</v>
      </c>
      <c r="E318" s="360">
        <f>+ROUND('Alim CE Costi'!H440,2)</f>
        <v>131952.81</v>
      </c>
      <c r="F318" s="303"/>
      <c r="G318" s="200"/>
      <c r="H318" s="91"/>
    </row>
    <row r="319" spans="1:8" ht="25.5">
      <c r="A319" s="193"/>
      <c r="B319" s="96" t="s">
        <v>755</v>
      </c>
      <c r="C319" s="97" t="s">
        <v>1534</v>
      </c>
      <c r="D319" s="360">
        <f>+ROUND('Alim CE Costi'!E442,2)</f>
        <v>0</v>
      </c>
      <c r="E319" s="360">
        <f>+ROUND('Alim CE Costi'!H442,2)</f>
        <v>0</v>
      </c>
      <c r="F319" s="303"/>
      <c r="G319" s="200"/>
      <c r="H319" s="91"/>
    </row>
    <row r="320" spans="1:8" ht="25.5">
      <c r="A320" s="193" t="s">
        <v>1297</v>
      </c>
      <c r="B320" s="96" t="s">
        <v>757</v>
      </c>
      <c r="C320" s="97" t="s">
        <v>1535</v>
      </c>
      <c r="D320" s="360">
        <f>+ROUND('Alim CE Costi'!E444,2)</f>
        <v>0</v>
      </c>
      <c r="E320" s="360">
        <f>+ROUND('Alim CE Costi'!H444,2)</f>
        <v>0</v>
      </c>
      <c r="F320" s="303"/>
      <c r="G320" s="200"/>
      <c r="H320" s="91"/>
    </row>
    <row r="321" spans="1:8" ht="25.5">
      <c r="A321" s="193"/>
      <c r="B321" s="130" t="s">
        <v>758</v>
      </c>
      <c r="C321" s="131" t="s">
        <v>1536</v>
      </c>
      <c r="D321" s="359">
        <f t="shared" ref="D321" si="114">SUM(D322:D328)</f>
        <v>2860907.34</v>
      </c>
      <c r="E321" s="359">
        <f t="shared" ref="E321" si="115">SUM(E322:E328)</f>
        <v>2262641.04</v>
      </c>
      <c r="F321" s="59" t="s">
        <v>1835</v>
      </c>
      <c r="G321" s="200"/>
      <c r="H321" s="91"/>
    </row>
    <row r="322" spans="1:8" ht="38.25">
      <c r="A322" s="193" t="s">
        <v>1248</v>
      </c>
      <c r="B322" s="94" t="s">
        <v>760</v>
      </c>
      <c r="C322" s="95" t="s">
        <v>1537</v>
      </c>
      <c r="D322" s="360">
        <f>+ROUND('Alim CE Costi'!E447,2)</f>
        <v>0</v>
      </c>
      <c r="E322" s="360">
        <f>+ROUND('Alim CE Costi'!H447,2)</f>
        <v>0</v>
      </c>
      <c r="F322" s="303"/>
      <c r="G322" s="200"/>
      <c r="H322" s="91"/>
    </row>
    <row r="323" spans="1:8" ht="25.5">
      <c r="A323" s="193"/>
      <c r="B323" s="94" t="s">
        <v>762</v>
      </c>
      <c r="C323" s="95" t="s">
        <v>1538</v>
      </c>
      <c r="D323" s="360">
        <f>+ROUND('Alim CE Costi'!E449,2)</f>
        <v>0</v>
      </c>
      <c r="E323" s="360">
        <f>+ROUND('Alim CE Costi'!H449,2)</f>
        <v>0</v>
      </c>
      <c r="F323" s="303"/>
      <c r="G323" s="200"/>
      <c r="H323" s="91"/>
    </row>
    <row r="324" spans="1:8" ht="25.5">
      <c r="A324" s="193" t="s">
        <v>1297</v>
      </c>
      <c r="B324" s="94" t="s">
        <v>764</v>
      </c>
      <c r="C324" s="95" t="s">
        <v>1539</v>
      </c>
      <c r="D324" s="360">
        <f>+ROUND('Alim CE Costi'!E451,2)</f>
        <v>219220</v>
      </c>
      <c r="E324" s="360">
        <f>+ROUND('Alim CE Costi'!H451,2)</f>
        <v>0</v>
      </c>
      <c r="F324" s="303"/>
      <c r="G324" s="200"/>
      <c r="H324" s="91"/>
    </row>
    <row r="325" spans="1:8" ht="18.75">
      <c r="A325" s="193"/>
      <c r="B325" s="94" t="s">
        <v>766</v>
      </c>
      <c r="C325" s="95" t="s">
        <v>1540</v>
      </c>
      <c r="D325" s="360">
        <f>+ROUND('Alim CE Costi'!E453+'Alim CE Costi'!E454+'Alim CE Costi'!E456+'Alim CE Costi'!E455,2)</f>
        <v>2641687.34</v>
      </c>
      <c r="E325" s="360">
        <f>+ROUND('Alim CE Costi'!H453+'Alim CE Costi'!H454+'Alim CE Costi'!H456+'Alim CE Costi'!H455,2)</f>
        <v>2262641.04</v>
      </c>
      <c r="F325" s="303"/>
      <c r="G325" s="200"/>
      <c r="H325" s="91"/>
    </row>
    <row r="326" spans="1:8" ht="25.5">
      <c r="A326" s="191"/>
      <c r="B326" s="94" t="s">
        <v>769</v>
      </c>
      <c r="C326" s="95" t="s">
        <v>1541</v>
      </c>
      <c r="D326" s="360">
        <f>+ROUND('Alim CE Costi'!E458,2)</f>
        <v>0</v>
      </c>
      <c r="E326" s="360">
        <f>+ROUND('Alim CE Costi'!H458,2)</f>
        <v>0</v>
      </c>
      <c r="F326" s="59"/>
      <c r="G326" s="200"/>
      <c r="H326" s="91"/>
    </row>
    <row r="327" spans="1:8" ht="25.5">
      <c r="A327" s="191" t="s">
        <v>1248</v>
      </c>
      <c r="B327" s="94" t="s">
        <v>771</v>
      </c>
      <c r="C327" s="95" t="s">
        <v>1542</v>
      </c>
      <c r="D327" s="360">
        <f>+ROUND('Alim CE Costi'!E460,2)</f>
        <v>0</v>
      </c>
      <c r="E327" s="360">
        <f>+ROUND('Alim CE Costi'!H460,2)</f>
        <v>0</v>
      </c>
      <c r="F327" s="59"/>
      <c r="G327" s="200"/>
      <c r="H327" s="91"/>
    </row>
    <row r="328" spans="1:8" ht="25.5">
      <c r="A328" s="191" t="s">
        <v>1297</v>
      </c>
      <c r="B328" s="94" t="s">
        <v>773</v>
      </c>
      <c r="C328" s="95" t="s">
        <v>1543</v>
      </c>
      <c r="D328" s="360">
        <f>+ROUND('Alim CE Costi'!E462,2)</f>
        <v>0</v>
      </c>
      <c r="E328" s="360">
        <f>+ROUND('Alim CE Costi'!H462,2)</f>
        <v>0</v>
      </c>
      <c r="F328" s="59"/>
      <c r="G328" s="200"/>
      <c r="H328" s="91"/>
    </row>
    <row r="329" spans="1:8" ht="25.5">
      <c r="A329" s="194" t="s">
        <v>1293</v>
      </c>
      <c r="B329" s="92" t="s">
        <v>774</v>
      </c>
      <c r="C329" s="93" t="s">
        <v>1544</v>
      </c>
      <c r="D329" s="360">
        <f>+ROUND('Alim CE Costi'!E464,2)</f>
        <v>0</v>
      </c>
      <c r="E329" s="360">
        <f>+ROUND('Alim CE Costi'!H464,2)</f>
        <v>0</v>
      </c>
      <c r="F329" s="59"/>
      <c r="G329" s="200"/>
      <c r="H329" s="91"/>
    </row>
    <row r="330" spans="1:8" ht="18.75">
      <c r="A330" s="191"/>
      <c r="B330" s="112" t="s">
        <v>776</v>
      </c>
      <c r="C330" s="113" t="s">
        <v>1545</v>
      </c>
      <c r="D330" s="358">
        <f t="shared" ref="D330" si="116">+D331+D351+D365</f>
        <v>18732978.510000002</v>
      </c>
      <c r="E330" s="358">
        <f t="shared" ref="E330" si="117">+E331+E351+E365</f>
        <v>18651569.48</v>
      </c>
      <c r="F330" s="59" t="s">
        <v>1835</v>
      </c>
      <c r="G330" s="200"/>
      <c r="H330" s="91"/>
    </row>
    <row r="331" spans="1:8" ht="18.75">
      <c r="A331" s="191"/>
      <c r="B331" s="130" t="s">
        <v>777</v>
      </c>
      <c r="C331" s="131" t="s">
        <v>1546</v>
      </c>
      <c r="D331" s="359">
        <f t="shared" ref="D331" si="118">+D332+D333+D334+D337+D338+D339+D340+D341+D342+D343+D344+D347</f>
        <v>18398739.75</v>
      </c>
      <c r="E331" s="359">
        <f t="shared" ref="E331" si="119">+E332+E333+E334+E337+E338+E339+E340+E341+E342+E343+E344+E347</f>
        <v>17875143.859999999</v>
      </c>
      <c r="F331" s="59" t="s">
        <v>1835</v>
      </c>
      <c r="G331" s="200"/>
      <c r="H331" s="91"/>
    </row>
    <row r="332" spans="1:8" ht="18.75">
      <c r="A332" s="191"/>
      <c r="B332" s="94" t="s">
        <v>779</v>
      </c>
      <c r="C332" s="95" t="s">
        <v>1547</v>
      </c>
      <c r="D332" s="360">
        <f>+ROUND('Alim CE Costi'!E468,2)</f>
        <v>8719.92</v>
      </c>
      <c r="E332" s="360">
        <f>+ROUND('Alim CE Costi'!H468,2)</f>
        <v>6522.12</v>
      </c>
      <c r="F332" s="59"/>
      <c r="G332" s="200"/>
      <c r="H332" s="91"/>
    </row>
    <row r="333" spans="1:8" ht="18.75">
      <c r="A333" s="191"/>
      <c r="B333" s="94" t="s">
        <v>781</v>
      </c>
      <c r="C333" s="95" t="s">
        <v>1548</v>
      </c>
      <c r="D333" s="360">
        <f>+ROUND('Alim CE Costi'!E470,2)</f>
        <v>54861.24</v>
      </c>
      <c r="E333" s="360">
        <f>+ROUND('Alim CE Costi'!H470,2)</f>
        <v>51417.599999999999</v>
      </c>
      <c r="F333" s="59"/>
      <c r="G333" s="200"/>
      <c r="H333" s="91"/>
    </row>
    <row r="334" spans="1:8" ht="18.75">
      <c r="A334" s="191"/>
      <c r="B334" s="125" t="s">
        <v>782</v>
      </c>
      <c r="C334" s="126" t="s">
        <v>1549</v>
      </c>
      <c r="D334" s="361">
        <f t="shared" ref="D334" si="120">+D335+D336</f>
        <v>121762.21</v>
      </c>
      <c r="E334" s="361">
        <f t="shared" ref="E334" si="121">+E335+E336</f>
        <v>116472</v>
      </c>
      <c r="F334" s="59" t="s">
        <v>1835</v>
      </c>
      <c r="G334" s="200"/>
      <c r="H334" s="91"/>
    </row>
    <row r="335" spans="1:8" ht="18.75">
      <c r="A335" s="191"/>
      <c r="B335" s="94" t="s">
        <v>784</v>
      </c>
      <c r="C335" s="95" t="s">
        <v>1550</v>
      </c>
      <c r="D335" s="360">
        <f>+ROUND('Alim CE Costi'!E473,2)</f>
        <v>121762.21</v>
      </c>
      <c r="E335" s="360">
        <f>+ROUND('Alim CE Costi'!H473,2)</f>
        <v>116472</v>
      </c>
      <c r="F335" s="59"/>
      <c r="G335" s="200"/>
      <c r="H335" s="91"/>
    </row>
    <row r="336" spans="1:8" ht="18.75">
      <c r="A336" s="191"/>
      <c r="B336" s="94" t="s">
        <v>786</v>
      </c>
      <c r="C336" s="95" t="s">
        <v>1551</v>
      </c>
      <c r="D336" s="360">
        <f>+ROUND('Alim CE Costi'!E475,2)</f>
        <v>0</v>
      </c>
      <c r="E336" s="360">
        <f>+ROUND('Alim CE Costi'!H475,2)</f>
        <v>0</v>
      </c>
      <c r="F336" s="59"/>
      <c r="G336" s="200"/>
      <c r="H336" s="91"/>
    </row>
    <row r="337" spans="1:8" ht="18.75">
      <c r="A337" s="191"/>
      <c r="B337" s="94" t="s">
        <v>788</v>
      </c>
      <c r="C337" s="95" t="s">
        <v>1552</v>
      </c>
      <c r="D337" s="360">
        <f>+ROUND('Alim CE Costi'!E477,2)</f>
        <v>0</v>
      </c>
      <c r="E337" s="360">
        <f>+ROUND('Alim CE Costi'!H477,2)</f>
        <v>0</v>
      </c>
      <c r="F337" s="59"/>
      <c r="G337" s="200"/>
      <c r="H337" s="91"/>
    </row>
    <row r="338" spans="1:8" ht="18.75">
      <c r="A338" s="191"/>
      <c r="B338" s="94" t="s">
        <v>789</v>
      </c>
      <c r="C338" s="95" t="s">
        <v>1553</v>
      </c>
      <c r="D338" s="360">
        <f>+ROUND('Alim CE Costi'!E479+'Alim CE Costi'!E480+'Alim CE Costi'!E481,2)</f>
        <v>76323.039999999994</v>
      </c>
      <c r="E338" s="360">
        <f>+ROUND('Alim CE Costi'!H479+'Alim CE Costi'!H480+'Alim CE Costi'!H481,2)</f>
        <v>61488</v>
      </c>
      <c r="F338" s="59"/>
      <c r="G338" s="200"/>
      <c r="H338" s="91"/>
    </row>
    <row r="339" spans="1:8" ht="18.75">
      <c r="A339" s="191"/>
      <c r="B339" s="94" t="s">
        <v>794</v>
      </c>
      <c r="C339" s="95" t="s">
        <v>1554</v>
      </c>
      <c r="D339" s="360">
        <f>+ROUND('Alim CE Costi'!E483,2)</f>
        <v>2281.0700000000002</v>
      </c>
      <c r="E339" s="360">
        <f>+ROUND('Alim CE Costi'!H483,2)</f>
        <v>1716.55</v>
      </c>
      <c r="F339" s="59"/>
      <c r="G339" s="200"/>
      <c r="H339" s="91"/>
    </row>
    <row r="340" spans="1:8" ht="18.75">
      <c r="A340" s="191"/>
      <c r="B340" s="94" t="s">
        <v>796</v>
      </c>
      <c r="C340" s="95" t="s">
        <v>1555</v>
      </c>
      <c r="D340" s="360">
        <f>+ROUND('Alim CE Costi'!E485,2)</f>
        <v>112382.26</v>
      </c>
      <c r="E340" s="360">
        <f>+ROUND('Alim CE Costi'!H485,2)</f>
        <v>95873.19</v>
      </c>
      <c r="F340" s="59"/>
      <c r="G340" s="200"/>
      <c r="H340" s="91"/>
    </row>
    <row r="341" spans="1:8" ht="18.75">
      <c r="A341" s="191"/>
      <c r="B341" s="94" t="s">
        <v>797</v>
      </c>
      <c r="C341" s="95" t="s">
        <v>1556</v>
      </c>
      <c r="D341" s="360">
        <f>+ROUND('Alim CE Costi'!E487+'Alim CE Costi'!E488,2)</f>
        <v>113109.8</v>
      </c>
      <c r="E341" s="360">
        <f>+ROUND('Alim CE Costi'!H487+'Alim CE Costi'!H488,2)</f>
        <v>104271.58</v>
      </c>
      <c r="F341" s="59"/>
      <c r="G341" s="200"/>
      <c r="H341" s="91"/>
    </row>
    <row r="342" spans="1:8" ht="18.75">
      <c r="A342" s="191"/>
      <c r="B342" s="94" t="s">
        <v>801</v>
      </c>
      <c r="C342" s="95" t="s">
        <v>1557</v>
      </c>
      <c r="D342" s="360">
        <f>+ROUND('Alim CE Costi'!E490,2)</f>
        <v>18838.12</v>
      </c>
      <c r="E342" s="360">
        <f>+ROUND('Alim CE Costi'!H490,2)</f>
        <v>16881.68</v>
      </c>
      <c r="F342" s="59"/>
      <c r="G342" s="200"/>
      <c r="H342" s="91"/>
    </row>
    <row r="343" spans="1:8" ht="18.75">
      <c r="A343" s="191"/>
      <c r="B343" s="94" t="s">
        <v>803</v>
      </c>
      <c r="C343" s="95" t="s">
        <v>1558</v>
      </c>
      <c r="D343" s="360">
        <f>+ROUND('Alim CE Costi'!E492+'Alim CE Costi'!E493+'Alim CE Costi'!E494+'Alim CE Costi'!E495+'Alim CE Costi'!E496,2)</f>
        <v>272448.51</v>
      </c>
      <c r="E343" s="360">
        <f>+ROUND('Alim CE Costi'!H492+'Alim CE Costi'!H493+'Alim CE Costi'!H494+'Alim CE Costi'!H495+'Alim CE Costi'!H496,2)</f>
        <v>273379.52</v>
      </c>
      <c r="F343" s="59"/>
      <c r="G343" s="200"/>
      <c r="H343" s="91"/>
    </row>
    <row r="344" spans="1:8" ht="18.75">
      <c r="A344" s="191"/>
      <c r="B344" s="125" t="s">
        <v>808</v>
      </c>
      <c r="C344" s="126" t="s">
        <v>1559</v>
      </c>
      <c r="D344" s="361">
        <f t="shared" ref="D344" si="122">+D345+D346</f>
        <v>3955033.6799999997</v>
      </c>
      <c r="E344" s="361">
        <f t="shared" ref="E344" si="123">+E345+E346</f>
        <v>3929460.1599999997</v>
      </c>
      <c r="F344" s="59" t="s">
        <v>1835</v>
      </c>
      <c r="G344" s="200"/>
      <c r="H344" s="91"/>
    </row>
    <row r="345" spans="1:8" ht="18.75">
      <c r="A345" s="191"/>
      <c r="B345" s="96" t="s">
        <v>809</v>
      </c>
      <c r="C345" s="97" t="s">
        <v>1560</v>
      </c>
      <c r="D345" s="360">
        <f>+ROUND('Alim CE Costi'!E499,2)</f>
        <v>3920220.38</v>
      </c>
      <c r="E345" s="360">
        <f>+ROUND('Alim CE Costi'!H499,2)</f>
        <v>3894756.28</v>
      </c>
      <c r="F345" s="59"/>
      <c r="G345" s="200"/>
      <c r="H345" s="100"/>
    </row>
    <row r="346" spans="1:8" ht="25.5">
      <c r="A346" s="191"/>
      <c r="B346" s="96" t="s">
        <v>811</v>
      </c>
      <c r="C346" s="97" t="s">
        <v>1561</v>
      </c>
      <c r="D346" s="360">
        <f>+ROUND('Alim CE Costi'!E501,2)</f>
        <v>34813.300000000003</v>
      </c>
      <c r="E346" s="360">
        <f>+ROUND('Alim CE Costi'!H501,2)</f>
        <v>34703.879999999997</v>
      </c>
      <c r="F346" s="59"/>
      <c r="G346" s="200"/>
      <c r="H346" s="91"/>
    </row>
    <row r="347" spans="1:8" ht="18.75">
      <c r="A347" s="191"/>
      <c r="B347" s="125" t="s">
        <v>812</v>
      </c>
      <c r="C347" s="126" t="s">
        <v>1562</v>
      </c>
      <c r="D347" s="361">
        <f t="shared" ref="D347" si="124">+D348+D349+D350</f>
        <v>13662979.9</v>
      </c>
      <c r="E347" s="361">
        <f t="shared" ref="E347" si="125">+E348+E349+E350</f>
        <v>13217661.460000001</v>
      </c>
      <c r="F347" s="59" t="s">
        <v>1835</v>
      </c>
      <c r="G347" s="200"/>
      <c r="H347" s="91"/>
    </row>
    <row r="348" spans="1:8" ht="25.5">
      <c r="A348" s="191" t="s">
        <v>1248</v>
      </c>
      <c r="B348" s="96" t="s">
        <v>814</v>
      </c>
      <c r="C348" s="97" t="s">
        <v>1563</v>
      </c>
      <c r="D348" s="360">
        <f>+ROUND('Alim CE Costi'!E504,2)</f>
        <v>0</v>
      </c>
      <c r="E348" s="360">
        <f>+ROUND('Alim CE Costi'!H504,2)</f>
        <v>0</v>
      </c>
      <c r="F348" s="59"/>
      <c r="G348" s="200"/>
      <c r="H348" s="91"/>
    </row>
    <row r="349" spans="1:8" ht="25.5">
      <c r="A349" s="191"/>
      <c r="B349" s="96" t="s">
        <v>815</v>
      </c>
      <c r="C349" s="97" t="s">
        <v>1564</v>
      </c>
      <c r="D349" s="360">
        <f>+ROUND('Alim CE Costi'!E506+'Alim CE Costi'!E507,2)</f>
        <v>182114</v>
      </c>
      <c r="E349" s="360">
        <f>+ROUND('Alim CE Costi'!H506+'Alim CE Costi'!H507,2)</f>
        <v>147562</v>
      </c>
      <c r="F349" s="59"/>
      <c r="G349" s="200"/>
      <c r="H349" s="91"/>
    </row>
    <row r="350" spans="1:8" ht="18.75">
      <c r="A350" s="191"/>
      <c r="B350" s="96" t="s">
        <v>819</v>
      </c>
      <c r="C350" s="97" t="s">
        <v>1565</v>
      </c>
      <c r="D350" s="360">
        <f>+ROUND(SUM('Alim CE Costi'!E509:E523),2)</f>
        <v>13480865.9</v>
      </c>
      <c r="E350" s="360">
        <f>+ROUND(SUM('Alim CE Costi'!H509:H523),2)</f>
        <v>13070099.460000001</v>
      </c>
      <c r="F350" s="59"/>
      <c r="G350" s="200"/>
      <c r="H350" s="91"/>
    </row>
    <row r="351" spans="1:8" ht="25.5">
      <c r="A351" s="191"/>
      <c r="B351" s="130" t="s">
        <v>834</v>
      </c>
      <c r="C351" s="131" t="s">
        <v>1566</v>
      </c>
      <c r="D351" s="359">
        <f t="shared" ref="D351" si="126">+D352+D353+D354+D361</f>
        <v>254333.50999999998</v>
      </c>
      <c r="E351" s="359">
        <f t="shared" ref="E351" si="127">+E352+E353+E354+E361</f>
        <v>722476.53</v>
      </c>
      <c r="F351" s="59" t="s">
        <v>1835</v>
      </c>
      <c r="G351" s="200"/>
      <c r="H351" s="91"/>
    </row>
    <row r="352" spans="1:8" ht="25.5">
      <c r="A352" s="191" t="s">
        <v>1248</v>
      </c>
      <c r="B352" s="94" t="s">
        <v>836</v>
      </c>
      <c r="C352" s="95" t="s">
        <v>1567</v>
      </c>
      <c r="D352" s="360">
        <f>+ROUND('Alim CE Costi'!E526,2)</f>
        <v>16931.64</v>
      </c>
      <c r="E352" s="360">
        <f>+ROUND('Alim CE Costi'!H526,2)</f>
        <v>17058.68</v>
      </c>
      <c r="F352" s="59"/>
      <c r="G352" s="200"/>
      <c r="H352" s="91"/>
    </row>
    <row r="353" spans="1:8" ht="25.5">
      <c r="A353" s="191"/>
      <c r="B353" s="94" t="s">
        <v>838</v>
      </c>
      <c r="C353" s="95" t="s">
        <v>1568</v>
      </c>
      <c r="D353" s="360">
        <f>+ROUND('Alim CE Costi'!E528,2)</f>
        <v>0</v>
      </c>
      <c r="E353" s="360">
        <f>+ROUND('Alim CE Costi'!H528,2)</f>
        <v>0</v>
      </c>
      <c r="F353" s="59"/>
      <c r="G353" s="200"/>
      <c r="H353" s="91"/>
    </row>
    <row r="354" spans="1:8" ht="25.5">
      <c r="A354" s="191"/>
      <c r="B354" s="125" t="s">
        <v>839</v>
      </c>
      <c r="C354" s="126" t="s">
        <v>1569</v>
      </c>
      <c r="D354" s="361">
        <f t="shared" ref="D354" si="128">SUM(D355:D360)</f>
        <v>235117.72</v>
      </c>
      <c r="E354" s="361">
        <f t="shared" ref="E354" si="129">SUM(E355:E360)</f>
        <v>705417.85</v>
      </c>
      <c r="F354" s="59" t="s">
        <v>1835</v>
      </c>
      <c r="G354" s="200"/>
      <c r="H354" s="91"/>
    </row>
    <row r="355" spans="1:8" ht="18.75">
      <c r="A355" s="191"/>
      <c r="B355" s="96" t="s">
        <v>840</v>
      </c>
      <c r="C355" s="97" t="s">
        <v>1570</v>
      </c>
      <c r="D355" s="360">
        <f>+ROUND(SUM('Alim CE Costi'!E531:E535),2)</f>
        <v>7515.2</v>
      </c>
      <c r="E355" s="360">
        <f>+ROUND(SUM('Alim CE Costi'!H531:H535),2)</f>
        <v>7515.2</v>
      </c>
      <c r="F355" s="59"/>
      <c r="G355" s="200"/>
      <c r="H355" s="91"/>
    </row>
    <row r="356" spans="1:8" ht="25.5">
      <c r="A356" s="191"/>
      <c r="B356" s="96" t="s">
        <v>847</v>
      </c>
      <c r="C356" s="97" t="s">
        <v>1571</v>
      </c>
      <c r="D356" s="360">
        <f>+ROUND('Alim CE Costi'!E537,2)</f>
        <v>0</v>
      </c>
      <c r="E356" s="360">
        <f>+ROUND('Alim CE Costi'!H537,2)</f>
        <v>0</v>
      </c>
      <c r="F356" s="59"/>
      <c r="G356" s="200"/>
      <c r="H356" s="91"/>
    </row>
    <row r="357" spans="1:8" ht="25.5">
      <c r="A357" s="191"/>
      <c r="B357" s="96" t="s">
        <v>848</v>
      </c>
      <c r="C357" s="97" t="s">
        <v>1572</v>
      </c>
      <c r="D357" s="360">
        <f>+ROUND('Alim CE Costi'!E539,2)</f>
        <v>0</v>
      </c>
      <c r="E357" s="360">
        <f>+ROUND('Alim CE Costi'!H539,2)</f>
        <v>0</v>
      </c>
      <c r="F357" s="59"/>
      <c r="G357" s="200"/>
      <c r="H357" s="91"/>
    </row>
    <row r="358" spans="1:8" ht="18.75">
      <c r="A358" s="191"/>
      <c r="B358" s="96" t="s">
        <v>849</v>
      </c>
      <c r="C358" s="97" t="s">
        <v>1573</v>
      </c>
      <c r="D358" s="360">
        <f>+ROUND('Alim CE Costi'!E541,2)</f>
        <v>110231.83</v>
      </c>
      <c r="E358" s="360">
        <f>+ROUND('Alim CE Costi'!H541,2)</f>
        <v>574477.9</v>
      </c>
      <c r="F358" s="59"/>
      <c r="G358" s="200"/>
      <c r="H358" s="91"/>
    </row>
    <row r="359" spans="1:8" ht="25.5">
      <c r="A359" s="191"/>
      <c r="B359" s="96" t="s">
        <v>850</v>
      </c>
      <c r="C359" s="97" t="s">
        <v>1574</v>
      </c>
      <c r="D359" s="365">
        <f>+ROUND('Alim CE Costi'!E543+'Alim CE Costi'!E544+'Alim CE Costi'!E545+'Alim CE Costi'!E546+'Alim CE Costi'!E547,2)</f>
        <v>117370.69</v>
      </c>
      <c r="E359" s="365">
        <f>+ROUND('Alim CE Costi'!H543+'Alim CE Costi'!H544+'Alim CE Costi'!H545+'Alim CE Costi'!H546+'Alim CE Costi'!H547,2)</f>
        <v>123424.75</v>
      </c>
      <c r="F359" s="59"/>
      <c r="G359" s="200"/>
      <c r="H359" s="91"/>
    </row>
    <row r="360" spans="1:8" ht="51">
      <c r="A360" s="191"/>
      <c r="B360" s="96" t="s">
        <v>855</v>
      </c>
      <c r="C360" s="97" t="s">
        <v>1575</v>
      </c>
      <c r="D360" s="360">
        <f>+ROUND('Alim CE Costi'!E549,2)</f>
        <v>0</v>
      </c>
      <c r="E360" s="360">
        <f>+ROUND('Alim CE Costi'!H549,2)</f>
        <v>0</v>
      </c>
      <c r="F360" s="59"/>
      <c r="G360" s="200"/>
      <c r="H360" s="91"/>
    </row>
    <row r="361" spans="1:8" ht="25.5">
      <c r="A361" s="191"/>
      <c r="B361" s="125" t="s">
        <v>856</v>
      </c>
      <c r="C361" s="126" t="s">
        <v>1576</v>
      </c>
      <c r="D361" s="361">
        <f t="shared" ref="D361" si="130">SUM(D362:D364)</f>
        <v>2284.15</v>
      </c>
      <c r="E361" s="361">
        <f t="shared" ref="E361" si="131">SUM(E362:E364)</f>
        <v>0</v>
      </c>
      <c r="F361" s="59" t="s">
        <v>1835</v>
      </c>
      <c r="G361" s="200"/>
      <c r="H361" s="91"/>
    </row>
    <row r="362" spans="1:8" ht="38.25">
      <c r="A362" s="191" t="s">
        <v>1248</v>
      </c>
      <c r="B362" s="96" t="s">
        <v>858</v>
      </c>
      <c r="C362" s="97" t="s">
        <v>1577</v>
      </c>
      <c r="D362" s="360">
        <f>+ROUND('Alim CE Costi'!E552,2)</f>
        <v>2284.15</v>
      </c>
      <c r="E362" s="360">
        <f>+ROUND('Alim CE Costi'!H552,2)</f>
        <v>0</v>
      </c>
      <c r="F362" s="59"/>
      <c r="G362" s="200"/>
      <c r="H362" s="91"/>
    </row>
    <row r="363" spans="1:8" ht="38.25">
      <c r="A363" s="191"/>
      <c r="B363" s="96" t="s">
        <v>860</v>
      </c>
      <c r="C363" s="97" t="s">
        <v>1578</v>
      </c>
      <c r="D363" s="360">
        <f>+ROUND('Alim CE Costi'!E554,2)</f>
        <v>0</v>
      </c>
      <c r="E363" s="360">
        <f>+ROUND('Alim CE Costi'!H554,2)</f>
        <v>0</v>
      </c>
      <c r="F363" s="59"/>
      <c r="G363" s="200"/>
      <c r="H363" s="91"/>
    </row>
    <row r="364" spans="1:8" ht="38.25">
      <c r="A364" s="191" t="s">
        <v>1297</v>
      </c>
      <c r="B364" s="96" t="s">
        <v>862</v>
      </c>
      <c r="C364" s="97" t="s">
        <v>1579</v>
      </c>
      <c r="D364" s="360">
        <f>+ROUND('Alim CE Costi'!E556,2)</f>
        <v>0</v>
      </c>
      <c r="E364" s="360">
        <f>+ROUND('Alim CE Costi'!H556,2)</f>
        <v>0</v>
      </c>
      <c r="F364" s="59"/>
      <c r="G364" s="200"/>
      <c r="H364" s="91"/>
    </row>
    <row r="365" spans="1:8" ht="18.75">
      <c r="A365" s="191"/>
      <c r="B365" s="130" t="s">
        <v>863</v>
      </c>
      <c r="C365" s="131" t="s">
        <v>1580</v>
      </c>
      <c r="D365" s="359">
        <f t="shared" ref="D365" si="132">+D366+D367</f>
        <v>79905.25</v>
      </c>
      <c r="E365" s="359">
        <f t="shared" ref="E365" si="133">+E366+E367</f>
        <v>53949.09</v>
      </c>
      <c r="F365" s="59" t="s">
        <v>1835</v>
      </c>
      <c r="G365" s="200"/>
      <c r="H365" s="91"/>
    </row>
    <row r="366" spans="1:8" ht="18.75">
      <c r="A366" s="191"/>
      <c r="B366" s="94" t="s">
        <v>865</v>
      </c>
      <c r="C366" s="95" t="s">
        <v>1581</v>
      </c>
      <c r="D366" s="360">
        <f>+ROUND('Alim CE Costi'!E559,2)</f>
        <v>440</v>
      </c>
      <c r="E366" s="360">
        <f>+ROUND('Alim CE Costi'!H559,2)</f>
        <v>0</v>
      </c>
      <c r="F366" s="59"/>
      <c r="G366" s="200"/>
      <c r="H366" s="91"/>
    </row>
    <row r="367" spans="1:8" ht="18.75">
      <c r="A367" s="191"/>
      <c r="B367" s="94" t="s">
        <v>867</v>
      </c>
      <c r="C367" s="95" t="s">
        <v>1582</v>
      </c>
      <c r="D367" s="360">
        <f>+ROUND('Alim CE Costi'!E561,2)</f>
        <v>79465.25</v>
      </c>
      <c r="E367" s="360">
        <f>+ROUND('Alim CE Costi'!H561,2)</f>
        <v>53949.09</v>
      </c>
      <c r="F367" s="59"/>
      <c r="G367" s="200"/>
      <c r="H367" s="91"/>
    </row>
    <row r="368" spans="1:8" ht="25.5">
      <c r="A368" s="191"/>
      <c r="B368" s="117" t="s">
        <v>1583</v>
      </c>
      <c r="C368" s="118" t="s">
        <v>1584</v>
      </c>
      <c r="D368" s="357">
        <f t="shared" ref="D368" si="134">SUM(D369:D375)</f>
        <v>6603.43</v>
      </c>
      <c r="E368" s="357">
        <f t="shared" ref="E368" si="135">SUM(E369:E375)</f>
        <v>1064.03</v>
      </c>
      <c r="F368" s="59" t="s">
        <v>1835</v>
      </c>
      <c r="G368" s="200"/>
      <c r="H368" s="91"/>
    </row>
    <row r="369" spans="1:8" ht="25.5">
      <c r="A369" s="191"/>
      <c r="B369" s="92" t="s">
        <v>869</v>
      </c>
      <c r="C369" s="93" t="s">
        <v>1585</v>
      </c>
      <c r="D369" s="360">
        <f>+ROUND('Alim CE Costi'!E564,2)</f>
        <v>0</v>
      </c>
      <c r="E369" s="360">
        <f>+ROUND('Alim CE Costi'!H564,2)</f>
        <v>0</v>
      </c>
      <c r="F369" s="59"/>
      <c r="G369" s="200"/>
      <c r="H369" s="91"/>
    </row>
    <row r="370" spans="1:8" ht="25.5">
      <c r="A370" s="191"/>
      <c r="B370" s="92" t="s">
        <v>870</v>
      </c>
      <c r="C370" s="93" t="s">
        <v>1586</v>
      </c>
      <c r="D370" s="360">
        <f>+ROUND('Alim CE Costi'!E566+'Alim CE Costi'!E567+'Alim CE Costi'!E568,2)</f>
        <v>0</v>
      </c>
      <c r="E370" s="360">
        <f>+ROUND('Alim CE Costi'!H566+'Alim CE Costi'!H567+'Alim CE Costi'!H568,2)</f>
        <v>0</v>
      </c>
      <c r="F370" s="59"/>
      <c r="G370" s="200"/>
      <c r="H370" s="91"/>
    </row>
    <row r="371" spans="1:8" ht="25.5">
      <c r="A371" s="191"/>
      <c r="B371" s="92" t="s">
        <v>875</v>
      </c>
      <c r="C371" s="93" t="s">
        <v>1587</v>
      </c>
      <c r="D371" s="360">
        <f>+ROUND('Alim CE Costi'!E570,2)</f>
        <v>0</v>
      </c>
      <c r="E371" s="360">
        <f>+ROUND('Alim CE Costi'!H570,2)</f>
        <v>0</v>
      </c>
      <c r="F371" s="59"/>
      <c r="G371" s="200"/>
      <c r="H371" s="91"/>
    </row>
    <row r="372" spans="1:8" ht="18.75">
      <c r="A372" s="191"/>
      <c r="B372" s="92" t="s">
        <v>877</v>
      </c>
      <c r="C372" s="93" t="s">
        <v>1588</v>
      </c>
      <c r="D372" s="360">
        <f>+ROUND('Alim CE Costi'!E572,2)</f>
        <v>0</v>
      </c>
      <c r="E372" s="360">
        <f>+ROUND('Alim CE Costi'!H572,2)</f>
        <v>0</v>
      </c>
      <c r="F372" s="59"/>
      <c r="G372" s="200"/>
      <c r="H372" s="91"/>
    </row>
    <row r="373" spans="1:8" ht="18.75">
      <c r="A373" s="191"/>
      <c r="B373" s="92" t="s">
        <v>879</v>
      </c>
      <c r="C373" s="93" t="s">
        <v>1589</v>
      </c>
      <c r="D373" s="360">
        <f>+ROUND('Alim CE Costi'!E574,2)</f>
        <v>6603.42</v>
      </c>
      <c r="E373" s="360">
        <f>+ROUND('Alim CE Costi'!H574,2)</f>
        <v>1064.03</v>
      </c>
      <c r="F373" s="59"/>
      <c r="G373" s="200"/>
      <c r="H373" s="91"/>
    </row>
    <row r="374" spans="1:8" ht="18.75">
      <c r="A374" s="191"/>
      <c r="B374" s="92" t="s">
        <v>881</v>
      </c>
      <c r="C374" s="93" t="s">
        <v>1590</v>
      </c>
      <c r="D374" s="360">
        <f>+ROUND('Alim CE Costi'!E576+'Alim CE Costi'!E577+'Alim CE Costi'!E578,2)</f>
        <v>0.01</v>
      </c>
      <c r="E374" s="360">
        <f>+ROUND('Alim CE Costi'!H576+'Alim CE Costi'!H577+'Alim CE Costi'!H578,2)</f>
        <v>0</v>
      </c>
      <c r="F374" s="59"/>
      <c r="G374" s="200"/>
      <c r="H374" s="91"/>
    </row>
    <row r="375" spans="1:8" ht="25.5">
      <c r="A375" s="196" t="s">
        <v>1248</v>
      </c>
      <c r="B375" s="92" t="s">
        <v>885</v>
      </c>
      <c r="C375" s="93" t="s">
        <v>1591</v>
      </c>
      <c r="D375" s="360">
        <f>+ROUND('Alim CE Costi'!E580,2)</f>
        <v>0</v>
      </c>
      <c r="E375" s="360">
        <f>+ROUND('Alim CE Costi'!H580,2)</f>
        <v>0</v>
      </c>
      <c r="F375" s="59"/>
      <c r="G375" s="200"/>
      <c r="H375" s="91"/>
    </row>
    <row r="376" spans="1:8" ht="18.75">
      <c r="A376" s="191"/>
      <c r="B376" s="117" t="s">
        <v>886</v>
      </c>
      <c r="C376" s="118" t="s">
        <v>1592</v>
      </c>
      <c r="D376" s="357">
        <f t="shared" ref="D376" si="136">+D377+D378+D381+D384+D385</f>
        <v>2931092.54</v>
      </c>
      <c r="E376" s="357">
        <f t="shared" ref="E376" si="137">+E377+E378+E381+E384+E385</f>
        <v>3100078.79</v>
      </c>
      <c r="F376" s="59" t="s">
        <v>1835</v>
      </c>
      <c r="G376" s="200"/>
      <c r="H376" s="91"/>
    </row>
    <row r="377" spans="1:8" ht="18.75">
      <c r="A377" s="191"/>
      <c r="B377" s="92" t="s">
        <v>887</v>
      </c>
      <c r="C377" s="93" t="s">
        <v>1593</v>
      </c>
      <c r="D377" s="360">
        <f>+ROUND('Alim CE Costi'!E583+'Alim CE Costi'!E584,2)</f>
        <v>647793.34</v>
      </c>
      <c r="E377" s="360">
        <f>+ROUND('Alim CE Costi'!H583+'Alim CE Costi'!H584,2)</f>
        <v>688014.9</v>
      </c>
      <c r="F377" s="59"/>
      <c r="G377" s="200"/>
      <c r="H377" s="91"/>
    </row>
    <row r="378" spans="1:8" ht="18.75">
      <c r="A378" s="191"/>
      <c r="B378" s="112" t="s">
        <v>890</v>
      </c>
      <c r="C378" s="113" t="s">
        <v>1594</v>
      </c>
      <c r="D378" s="358">
        <f t="shared" ref="D378" si="138">+D379+D380</f>
        <v>2283299.2000000002</v>
      </c>
      <c r="E378" s="358">
        <f t="shared" ref="E378" si="139">+E379+E380</f>
        <v>2412063.89</v>
      </c>
      <c r="F378" s="59" t="s">
        <v>1835</v>
      </c>
      <c r="G378" s="200"/>
      <c r="H378" s="91"/>
    </row>
    <row r="379" spans="1:8" ht="18.75">
      <c r="A379" s="191"/>
      <c r="B379" s="94" t="s">
        <v>892</v>
      </c>
      <c r="C379" s="95" t="s">
        <v>1595</v>
      </c>
      <c r="D379" s="360">
        <f>+ROUND('Alim CE Costi'!E587,2)</f>
        <v>2204865.7400000002</v>
      </c>
      <c r="E379" s="360">
        <f>+ROUND('Alim CE Costi'!H587,2)</f>
        <v>2357042.52</v>
      </c>
      <c r="F379" s="59"/>
      <c r="G379" s="200"/>
      <c r="H379" s="91"/>
    </row>
    <row r="380" spans="1:8" ht="18.75">
      <c r="A380" s="191"/>
      <c r="B380" s="94" t="s">
        <v>893</v>
      </c>
      <c r="C380" s="95" t="s">
        <v>1596</v>
      </c>
      <c r="D380" s="360">
        <f>+ROUND('Alim CE Costi'!E589+'Alim CE Costi'!E590+'Alim CE Costi'!E591+'Alim CE Costi'!E592,2)</f>
        <v>78433.460000000006</v>
      </c>
      <c r="E380" s="360">
        <f>+ROUND('Alim CE Costi'!H589+'Alim CE Costi'!H590+'Alim CE Costi'!H591+'Alim CE Costi'!H592,2)</f>
        <v>55021.37</v>
      </c>
      <c r="F380" s="59"/>
      <c r="G380" s="200"/>
      <c r="H380" s="91"/>
    </row>
    <row r="381" spans="1:8" ht="18.75">
      <c r="A381" s="191"/>
      <c r="B381" s="112" t="s">
        <v>898</v>
      </c>
      <c r="C381" s="113" t="s">
        <v>1597</v>
      </c>
      <c r="D381" s="358">
        <f t="shared" ref="D381" si="140">+D382+D383</f>
        <v>0</v>
      </c>
      <c r="E381" s="358">
        <f t="shared" ref="E381" si="141">+E382+E383</f>
        <v>0</v>
      </c>
      <c r="F381" s="59" t="s">
        <v>1835</v>
      </c>
      <c r="G381" s="200"/>
      <c r="H381" s="91"/>
    </row>
    <row r="382" spans="1:8" ht="18.75">
      <c r="A382" s="191"/>
      <c r="B382" s="94" t="s">
        <v>899</v>
      </c>
      <c r="C382" s="95" t="s">
        <v>1598</v>
      </c>
      <c r="D382" s="360">
        <f>+ROUND('Alim CE Costi'!E595+'Alim CE Costi'!E596,2)</f>
        <v>0</v>
      </c>
      <c r="E382" s="360">
        <f>+ROUND('Alim CE Costi'!H595+'Alim CE Costi'!H596,2)</f>
        <v>0</v>
      </c>
      <c r="F382" s="59"/>
      <c r="G382" s="200"/>
      <c r="H382" s="91"/>
    </row>
    <row r="383" spans="1:8" ht="18.75">
      <c r="A383" s="191"/>
      <c r="B383" s="94" t="s">
        <v>900</v>
      </c>
      <c r="C383" s="95" t="s">
        <v>1599</v>
      </c>
      <c r="D383" s="360">
        <f>+ROUND('Alim CE Costi'!E598+'Alim CE Costi'!E599,2)</f>
        <v>0</v>
      </c>
      <c r="E383" s="360">
        <f>+ROUND('Alim CE Costi'!H598+'Alim CE Costi'!H599,2)</f>
        <v>0</v>
      </c>
      <c r="F383" s="59"/>
      <c r="G383" s="200"/>
      <c r="H383" s="91"/>
    </row>
    <row r="384" spans="1:8" ht="18.75">
      <c r="A384" s="193"/>
      <c r="B384" s="92" t="s">
        <v>902</v>
      </c>
      <c r="C384" s="93" t="s">
        <v>1600</v>
      </c>
      <c r="D384" s="360">
        <f>+ROUND('Alim CE Costi'!E601,2)</f>
        <v>0</v>
      </c>
      <c r="E384" s="360">
        <f>+ROUND('Alim CE Costi'!H601,2)</f>
        <v>0</v>
      </c>
      <c r="F384" s="303"/>
      <c r="G384" s="200"/>
      <c r="H384" s="91"/>
    </row>
    <row r="385" spans="1:8" ht="25.5">
      <c r="A385" s="197" t="s">
        <v>1248</v>
      </c>
      <c r="B385" s="92" t="s">
        <v>904</v>
      </c>
      <c r="C385" s="93" t="s">
        <v>1601</v>
      </c>
      <c r="D385" s="360">
        <f>+ROUND('Alim CE Costi'!E603,2)</f>
        <v>0</v>
      </c>
      <c r="E385" s="360">
        <f>+ROUND('Alim CE Costi'!H603,2)</f>
        <v>0</v>
      </c>
      <c r="F385" s="303"/>
      <c r="G385" s="200"/>
      <c r="H385" s="91"/>
    </row>
    <row r="386" spans="1:8" ht="18.75">
      <c r="A386" s="191"/>
      <c r="B386" s="132" t="s">
        <v>1602</v>
      </c>
      <c r="C386" s="133" t="s">
        <v>1603</v>
      </c>
      <c r="D386" s="366">
        <f t="shared" ref="D386" si="142">+D387+D401+D410+D419</f>
        <v>12193029.760000002</v>
      </c>
      <c r="E386" s="366">
        <f t="shared" ref="E386" si="143">+E387+E401+E410+E419</f>
        <v>10525335.449999999</v>
      </c>
      <c r="F386" s="59" t="s">
        <v>1835</v>
      </c>
      <c r="G386" s="200"/>
      <c r="H386" s="91"/>
    </row>
    <row r="387" spans="1:8" ht="18.75">
      <c r="A387" s="191"/>
      <c r="B387" s="117" t="s">
        <v>905</v>
      </c>
      <c r="C387" s="118" t="s">
        <v>1604</v>
      </c>
      <c r="D387" s="357">
        <f t="shared" ref="D387" si="144">+D388+D397</f>
        <v>4050931.62</v>
      </c>
      <c r="E387" s="357">
        <f t="shared" ref="E387" si="145">+E388+E397</f>
        <v>3296485.6199999996</v>
      </c>
      <c r="F387" s="59" t="s">
        <v>1835</v>
      </c>
      <c r="G387" s="200"/>
      <c r="H387" s="91"/>
    </row>
    <row r="388" spans="1:8" ht="18.75">
      <c r="A388" s="191"/>
      <c r="B388" s="112" t="s">
        <v>906</v>
      </c>
      <c r="C388" s="113" t="s">
        <v>1605</v>
      </c>
      <c r="D388" s="358">
        <f t="shared" ref="D388" si="146">+D389+D393</f>
        <v>1553582.6300000001</v>
      </c>
      <c r="E388" s="358">
        <f t="shared" ref="E388" si="147">+E389+E393</f>
        <v>1084609.29</v>
      </c>
      <c r="F388" s="59" t="s">
        <v>1835</v>
      </c>
      <c r="G388" s="200"/>
      <c r="H388" s="91"/>
    </row>
    <row r="389" spans="1:8" ht="18.75">
      <c r="A389" s="191"/>
      <c r="B389" s="121" t="s">
        <v>907</v>
      </c>
      <c r="C389" s="122" t="s">
        <v>1606</v>
      </c>
      <c r="D389" s="359">
        <f t="shared" ref="D389" si="148">SUM(D390:D392)</f>
        <v>697347.82000000007</v>
      </c>
      <c r="E389" s="359">
        <f t="shared" ref="E389" si="149">SUM(E390:E392)</f>
        <v>264175.46000000002</v>
      </c>
      <c r="F389" s="59" t="s">
        <v>1835</v>
      </c>
      <c r="G389" s="200"/>
      <c r="H389" s="91"/>
    </row>
    <row r="390" spans="1:8" ht="25.5">
      <c r="A390" s="191"/>
      <c r="B390" s="94" t="s">
        <v>908</v>
      </c>
      <c r="C390" s="95" t="s">
        <v>1607</v>
      </c>
      <c r="D390" s="360">
        <f>+ROUND(SUM('Alim CE Costi'!E609:E616),2)</f>
        <v>666560.79</v>
      </c>
      <c r="E390" s="360">
        <f>+ROUND(SUM('Alim CE Costi'!H609:H616),2)</f>
        <v>264175.46000000002</v>
      </c>
      <c r="F390" s="59"/>
      <c r="G390" s="200"/>
      <c r="H390" s="91"/>
    </row>
    <row r="391" spans="1:8" ht="25.5">
      <c r="A391" s="191"/>
      <c r="B391" s="94" t="s">
        <v>909</v>
      </c>
      <c r="C391" s="95" t="s">
        <v>1608</v>
      </c>
      <c r="D391" s="360">
        <f>+ROUND(SUM('Alim CE Costi'!E618:E625),2)</f>
        <v>30787.03</v>
      </c>
      <c r="E391" s="360">
        <f>+ROUND(SUM('Alim CE Costi'!H618:H625),2)</f>
        <v>0</v>
      </c>
      <c r="F391" s="59"/>
      <c r="G391" s="200"/>
      <c r="H391" s="91"/>
    </row>
    <row r="392" spans="1:8" ht="18.75">
      <c r="A392" s="191"/>
      <c r="B392" s="94" t="s">
        <v>911</v>
      </c>
      <c r="C392" s="95" t="s">
        <v>1609</v>
      </c>
      <c r="D392" s="360">
        <f>+ROUND('Alim CE Costi'!E627,2)</f>
        <v>0</v>
      </c>
      <c r="E392" s="360">
        <f>+ROUND('Alim CE Costi'!H627,2)</f>
        <v>0</v>
      </c>
      <c r="F392" s="59"/>
      <c r="G392" s="200"/>
      <c r="H392" s="91"/>
    </row>
    <row r="393" spans="1:8" ht="18.75">
      <c r="A393" s="191"/>
      <c r="B393" s="121" t="s">
        <v>912</v>
      </c>
      <c r="C393" s="122" t="s">
        <v>1610</v>
      </c>
      <c r="D393" s="359">
        <f t="shared" ref="D393" si="150">SUM(D394:D396)</f>
        <v>856234.81</v>
      </c>
      <c r="E393" s="359">
        <f t="shared" ref="E393" si="151">SUM(E394:E396)</f>
        <v>820433.83000000007</v>
      </c>
      <c r="F393" s="59" t="s">
        <v>1835</v>
      </c>
      <c r="G393" s="200"/>
      <c r="H393" s="91"/>
    </row>
    <row r="394" spans="1:8" ht="25.5">
      <c r="A394" s="191"/>
      <c r="B394" s="94" t="s">
        <v>913</v>
      </c>
      <c r="C394" s="95" t="s">
        <v>1611</v>
      </c>
      <c r="D394" s="360">
        <f>+ROUND(SUM('Alim CE Costi'!E630:E637),2)</f>
        <v>784598.05</v>
      </c>
      <c r="E394" s="360">
        <f>+ROUND(SUM('Alim CE Costi'!H630:H637),2)</f>
        <v>719028.31</v>
      </c>
      <c r="F394" s="59"/>
      <c r="G394" s="200"/>
      <c r="H394" s="91"/>
    </row>
    <row r="395" spans="1:8" ht="25.5">
      <c r="A395" s="191"/>
      <c r="B395" s="94" t="s">
        <v>914</v>
      </c>
      <c r="C395" s="95" t="s">
        <v>1612</v>
      </c>
      <c r="D395" s="360">
        <f>+ROUND(SUM('Alim CE Costi'!E639:E646),2)</f>
        <v>71636.759999999995</v>
      </c>
      <c r="E395" s="360">
        <f>+ROUND(SUM('Alim CE Costi'!H639:H646),2)</f>
        <v>101405.52</v>
      </c>
      <c r="F395" s="59"/>
      <c r="G395" s="200"/>
      <c r="H395" s="91"/>
    </row>
    <row r="396" spans="1:8" ht="18.75">
      <c r="A396" s="191"/>
      <c r="B396" s="94" t="s">
        <v>915</v>
      </c>
      <c r="C396" s="95" t="s">
        <v>1613</v>
      </c>
      <c r="D396" s="360">
        <f>+ROUND('Alim CE Costi'!E648,2)</f>
        <v>0</v>
      </c>
      <c r="E396" s="360">
        <f>+ROUND('Alim CE Costi'!H648,2)</f>
        <v>0</v>
      </c>
      <c r="F396" s="59"/>
      <c r="G396" s="200"/>
      <c r="H396" s="91"/>
    </row>
    <row r="397" spans="1:8" ht="18.75">
      <c r="A397" s="191"/>
      <c r="B397" s="130" t="s">
        <v>916</v>
      </c>
      <c r="C397" s="131" t="s">
        <v>1614</v>
      </c>
      <c r="D397" s="359">
        <f t="shared" ref="D397" si="152">SUM(D398:D400)</f>
        <v>2497348.9900000002</v>
      </c>
      <c r="E397" s="359">
        <f t="shared" ref="E397" si="153">SUM(E398:E400)</f>
        <v>2211876.3299999996</v>
      </c>
      <c r="F397" s="59" t="s">
        <v>1835</v>
      </c>
      <c r="G397" s="200"/>
      <c r="H397" s="91"/>
    </row>
    <row r="398" spans="1:8" ht="25.5">
      <c r="A398" s="191"/>
      <c r="B398" s="94" t="s">
        <v>917</v>
      </c>
      <c r="C398" s="95" t="s">
        <v>1615</v>
      </c>
      <c r="D398" s="360">
        <f>+ROUND(SUM('Alim CE Costi'!E652:E692),2)</f>
        <v>2476114.4500000002</v>
      </c>
      <c r="E398" s="360">
        <f>+ROUND(SUM('Alim CE Costi'!H652:H692),2)</f>
        <v>2193845.0499999998</v>
      </c>
      <c r="F398" s="59"/>
      <c r="G398" s="200"/>
      <c r="H398" s="91"/>
    </row>
    <row r="399" spans="1:8" ht="25.5">
      <c r="A399" s="191"/>
      <c r="B399" s="94" t="s">
        <v>918</v>
      </c>
      <c r="C399" s="95" t="s">
        <v>1616</v>
      </c>
      <c r="D399" s="360">
        <f>+ROUND(SUM('Alim CE Costi'!E694:E735),2)</f>
        <v>21234.54</v>
      </c>
      <c r="E399" s="360">
        <f>+ROUND(SUM('Alim CE Costi'!H694:H735),2)</f>
        <v>18031.28</v>
      </c>
      <c r="F399" s="59"/>
      <c r="G399" s="200"/>
      <c r="H399" s="91"/>
    </row>
    <row r="400" spans="1:8" ht="18.75">
      <c r="A400" s="191"/>
      <c r="B400" s="94" t="s">
        <v>920</v>
      </c>
      <c r="C400" s="95" t="s">
        <v>1617</v>
      </c>
      <c r="D400" s="360">
        <f>+ROUND('Alim CE Costi'!E737,2)</f>
        <v>0</v>
      </c>
      <c r="E400" s="360">
        <f>+ROUND('Alim CE Costi'!H737,2)</f>
        <v>0</v>
      </c>
      <c r="F400" s="59"/>
      <c r="G400" s="200"/>
      <c r="H400" s="91"/>
    </row>
    <row r="401" spans="1:8" ht="18.75">
      <c r="A401" s="191"/>
      <c r="B401" s="117" t="s">
        <v>921</v>
      </c>
      <c r="C401" s="118" t="s">
        <v>1618</v>
      </c>
      <c r="D401" s="357">
        <f t="shared" ref="D401" si="154">+D402+D406</f>
        <v>667369.45000000007</v>
      </c>
      <c r="E401" s="357">
        <f t="shared" ref="E401" si="155">+E402+E406</f>
        <v>543806.37</v>
      </c>
      <c r="F401" s="59" t="s">
        <v>1835</v>
      </c>
      <c r="G401" s="200"/>
      <c r="H401" s="91"/>
    </row>
    <row r="402" spans="1:8" ht="25.5">
      <c r="A402" s="191"/>
      <c r="B402" s="112" t="s">
        <v>922</v>
      </c>
      <c r="C402" s="113" t="s">
        <v>1619</v>
      </c>
      <c r="D402" s="358">
        <f t="shared" ref="D402" si="156">SUM(D403:D405)</f>
        <v>648626.27</v>
      </c>
      <c r="E402" s="358">
        <f t="shared" ref="E402" si="157">SUM(E403:E405)</f>
        <v>543806.37</v>
      </c>
      <c r="F402" s="59" t="s">
        <v>1835</v>
      </c>
      <c r="G402" s="200"/>
      <c r="H402" s="91"/>
    </row>
    <row r="403" spans="1:8" ht="25.5">
      <c r="A403" s="191"/>
      <c r="B403" s="94" t="s">
        <v>923</v>
      </c>
      <c r="C403" s="95" t="s">
        <v>1620</v>
      </c>
      <c r="D403" s="360">
        <f>+ROUND(SUM('Alim CE Costi'!E741:E748),2)</f>
        <v>616526.05000000005</v>
      </c>
      <c r="E403" s="360">
        <f>+ROUND(SUM('Alim CE Costi'!H741:H748),2)</f>
        <v>543806.37</v>
      </c>
      <c r="F403" s="59"/>
      <c r="G403" s="200"/>
      <c r="H403" s="91"/>
    </row>
    <row r="404" spans="1:8" ht="25.5">
      <c r="A404" s="191"/>
      <c r="B404" s="94" t="s">
        <v>924</v>
      </c>
      <c r="C404" s="95" t="s">
        <v>1621</v>
      </c>
      <c r="D404" s="360">
        <f>+ROUND(SUM('Alim CE Costi'!E750:E757),2)</f>
        <v>32100.22</v>
      </c>
      <c r="E404" s="360">
        <f>+ROUND(SUM('Alim CE Costi'!H750:H757),2)</f>
        <v>0</v>
      </c>
      <c r="F404" s="59"/>
      <c r="G404" s="200"/>
      <c r="H404" s="91"/>
    </row>
    <row r="405" spans="1:8" ht="25.5">
      <c r="A405" s="191"/>
      <c r="B405" s="94" t="s">
        <v>926</v>
      </c>
      <c r="C405" s="95" t="s">
        <v>1622</v>
      </c>
      <c r="D405" s="360">
        <f>+ROUND('Alim CE Costi'!E759,2)</f>
        <v>0</v>
      </c>
      <c r="E405" s="360">
        <f>+ROUND('Alim CE Costi'!H759,2)</f>
        <v>0</v>
      </c>
      <c r="F405" s="59"/>
      <c r="G405" s="200"/>
      <c r="H405" s="91"/>
    </row>
    <row r="406" spans="1:8" ht="25.5">
      <c r="A406" s="191"/>
      <c r="B406" s="112" t="s">
        <v>927</v>
      </c>
      <c r="C406" s="113" t="s">
        <v>1623</v>
      </c>
      <c r="D406" s="358">
        <f t="shared" ref="D406" si="158">SUM(D407:D409)</f>
        <v>18743.18</v>
      </c>
      <c r="E406" s="358">
        <f t="shared" ref="E406" si="159">SUM(E407:E409)</f>
        <v>0</v>
      </c>
      <c r="F406" s="59" t="s">
        <v>1835</v>
      </c>
      <c r="G406" s="200"/>
      <c r="H406" s="91"/>
    </row>
    <row r="407" spans="1:8" ht="25.5">
      <c r="A407" s="191"/>
      <c r="B407" s="94" t="s">
        <v>928</v>
      </c>
      <c r="C407" s="95" t="s">
        <v>1624</v>
      </c>
      <c r="D407" s="360">
        <f>+ROUND(SUM('Alim CE Costi'!E762:E774),2)</f>
        <v>0</v>
      </c>
      <c r="E407" s="360">
        <f>+ROUND(SUM('Alim CE Costi'!H762:H774),2)</f>
        <v>0</v>
      </c>
      <c r="F407" s="59"/>
      <c r="G407" s="200"/>
      <c r="H407" s="91"/>
    </row>
    <row r="408" spans="1:8" ht="25.5">
      <c r="A408" s="191"/>
      <c r="B408" s="94" t="s">
        <v>929</v>
      </c>
      <c r="C408" s="95" t="s">
        <v>1625</v>
      </c>
      <c r="D408" s="360">
        <f>+ROUND(SUM('Alim CE Costi'!E776:E788),2)</f>
        <v>18743.18</v>
      </c>
      <c r="E408" s="360">
        <f>+ROUND(SUM('Alim CE Costi'!H776:H788),2)</f>
        <v>0</v>
      </c>
      <c r="F408" s="59"/>
      <c r="G408" s="200"/>
      <c r="H408" s="91"/>
    </row>
    <row r="409" spans="1:8" ht="25.5">
      <c r="A409" s="191"/>
      <c r="B409" s="94" t="s">
        <v>931</v>
      </c>
      <c r="C409" s="95" t="s">
        <v>1626</v>
      </c>
      <c r="D409" s="360">
        <f>+ROUND('Alim CE Costi'!E790,2)</f>
        <v>0</v>
      </c>
      <c r="E409" s="360">
        <f>+ROUND('Alim CE Costi'!H790,2)</f>
        <v>0</v>
      </c>
      <c r="F409" s="59"/>
      <c r="G409" s="200"/>
      <c r="H409" s="91"/>
    </row>
    <row r="410" spans="1:8" ht="18.75">
      <c r="A410" s="191"/>
      <c r="B410" s="117" t="s">
        <v>932</v>
      </c>
      <c r="C410" s="118" t="s">
        <v>1627</v>
      </c>
      <c r="D410" s="357">
        <f t="shared" ref="D410" si="160">+D411+D415</f>
        <v>779018.36</v>
      </c>
      <c r="E410" s="357">
        <f t="shared" ref="E410" si="161">+E411+E415</f>
        <v>742622.14999999991</v>
      </c>
      <c r="F410" s="59" t="s">
        <v>1835</v>
      </c>
      <c r="G410" s="200"/>
      <c r="H410" s="91"/>
    </row>
    <row r="411" spans="1:8" ht="18.75">
      <c r="A411" s="191"/>
      <c r="B411" s="112" t="s">
        <v>933</v>
      </c>
      <c r="C411" s="113" t="s">
        <v>1628</v>
      </c>
      <c r="D411" s="358">
        <f t="shared" ref="D411" si="162">SUM(D412:D414)</f>
        <v>320674.75</v>
      </c>
      <c r="E411" s="358">
        <f t="shared" ref="E411" si="163">SUM(E412:E414)</f>
        <v>296055.65999999997</v>
      </c>
      <c r="F411" s="59" t="s">
        <v>1835</v>
      </c>
      <c r="G411" s="200"/>
      <c r="H411" s="91"/>
    </row>
    <row r="412" spans="1:8" ht="25.5">
      <c r="A412" s="191"/>
      <c r="B412" s="94" t="s">
        <v>934</v>
      </c>
      <c r="C412" s="95" t="s">
        <v>1629</v>
      </c>
      <c r="D412" s="360">
        <f>+ROUND(SUM('Alim CE Costi'!E795:E811),2)</f>
        <v>320674.75</v>
      </c>
      <c r="E412" s="360">
        <f>+ROUND(SUM('Alim CE Costi'!H795:H811),2)</f>
        <v>296055.65999999997</v>
      </c>
      <c r="F412" s="59"/>
      <c r="G412" s="200"/>
      <c r="H412" s="91"/>
    </row>
    <row r="413" spans="1:8" ht="25.5">
      <c r="A413" s="191"/>
      <c r="B413" s="94" t="s">
        <v>935</v>
      </c>
      <c r="C413" s="95" t="s">
        <v>1630</v>
      </c>
      <c r="D413" s="360">
        <f>+ROUND(SUM('Alim CE Costi'!E814:E830),2)</f>
        <v>0</v>
      </c>
      <c r="E413" s="360">
        <f>+ROUND(SUM('Alim CE Costi'!H814:H830),2)</f>
        <v>0</v>
      </c>
      <c r="F413" s="59"/>
      <c r="G413" s="200"/>
      <c r="H413" s="91"/>
    </row>
    <row r="414" spans="1:8" ht="18.75">
      <c r="A414" s="191"/>
      <c r="B414" s="94" t="s">
        <v>937</v>
      </c>
      <c r="C414" s="95" t="s">
        <v>1631</v>
      </c>
      <c r="D414" s="360">
        <f>+ROUND(SUM('Alim CE Costi'!E832:E833),2)</f>
        <v>0</v>
      </c>
      <c r="E414" s="360">
        <f>+ROUND(SUM('Alim CE Costi'!H832:H833),2)</f>
        <v>0</v>
      </c>
      <c r="F414" s="59"/>
      <c r="G414" s="200"/>
      <c r="H414" s="91"/>
    </row>
    <row r="415" spans="1:8" ht="18.75">
      <c r="A415" s="191"/>
      <c r="B415" s="112" t="s">
        <v>938</v>
      </c>
      <c r="C415" s="113" t="s">
        <v>1632</v>
      </c>
      <c r="D415" s="358">
        <f t="shared" ref="D415" si="164">SUM(D416:D418)</f>
        <v>458343.61</v>
      </c>
      <c r="E415" s="358">
        <f t="shared" ref="E415" si="165">SUM(E416:E418)</f>
        <v>446566.49</v>
      </c>
      <c r="F415" s="59" t="s">
        <v>1835</v>
      </c>
      <c r="G415" s="200"/>
      <c r="H415" s="91"/>
    </row>
    <row r="416" spans="1:8" ht="25.5">
      <c r="A416" s="191"/>
      <c r="B416" s="94" t="s">
        <v>939</v>
      </c>
      <c r="C416" s="95" t="s">
        <v>1633</v>
      </c>
      <c r="D416" s="360">
        <f>+ROUND(SUM('Alim CE Costi'!E836:E863),2)</f>
        <v>458343.61</v>
      </c>
      <c r="E416" s="360">
        <f>+ROUND(SUM('Alim CE Costi'!H836:H863),2)</f>
        <v>446566.49</v>
      </c>
      <c r="F416" s="59"/>
      <c r="G416" s="200"/>
      <c r="H416" s="91"/>
    </row>
    <row r="417" spans="1:8" ht="25.5">
      <c r="A417" s="191"/>
      <c r="B417" s="94" t="s">
        <v>940</v>
      </c>
      <c r="C417" s="95" t="s">
        <v>1634</v>
      </c>
      <c r="D417" s="360">
        <f>+ROUND(SUM('Alim CE Costi'!E866:E892),2)</f>
        <v>0</v>
      </c>
      <c r="E417" s="360">
        <f>+ROUND(SUM('Alim CE Costi'!H866:H892),2)</f>
        <v>0</v>
      </c>
      <c r="F417" s="59"/>
      <c r="G417" s="200"/>
      <c r="H417" s="91"/>
    </row>
    <row r="418" spans="1:8" ht="18.75">
      <c r="A418" s="191"/>
      <c r="B418" s="94" t="s">
        <v>942</v>
      </c>
      <c r="C418" s="95" t="s">
        <v>1635</v>
      </c>
      <c r="D418" s="360">
        <f>+ROUND(SUM('Alim CE Costi'!E894:E895),2)</f>
        <v>0</v>
      </c>
      <c r="E418" s="360">
        <f>+ROUND(SUM('Alim CE Costi'!H894:H895),2)</f>
        <v>0</v>
      </c>
      <c r="F418" s="59"/>
      <c r="G418" s="200"/>
      <c r="H418" s="91"/>
    </row>
    <row r="419" spans="1:8" ht="18.75">
      <c r="A419" s="191"/>
      <c r="B419" s="117" t="s">
        <v>943</v>
      </c>
      <c r="C419" s="118" t="s">
        <v>1636</v>
      </c>
      <c r="D419" s="357">
        <f t="shared" ref="D419" si="166">+D420+D424</f>
        <v>6695710.3300000001</v>
      </c>
      <c r="E419" s="357">
        <f t="shared" ref="E419" si="167">+E420+E424</f>
        <v>5942421.3100000005</v>
      </c>
      <c r="F419" s="59" t="s">
        <v>1835</v>
      </c>
      <c r="G419" s="200"/>
      <c r="H419" s="91"/>
    </row>
    <row r="420" spans="1:8" ht="25.5">
      <c r="A420" s="191"/>
      <c r="B420" s="112" t="s">
        <v>944</v>
      </c>
      <c r="C420" s="113" t="s">
        <v>1637</v>
      </c>
      <c r="D420" s="358">
        <f t="shared" ref="D420" si="168">SUM(D421:D423)</f>
        <v>1808076.74</v>
      </c>
      <c r="E420" s="358">
        <f t="shared" ref="E420" si="169">SUM(E421:E423)</f>
        <v>1692578.2400000002</v>
      </c>
      <c r="F420" s="59" t="s">
        <v>1835</v>
      </c>
      <c r="G420" s="200"/>
      <c r="H420" s="91"/>
    </row>
    <row r="421" spans="1:8" ht="25.5">
      <c r="A421" s="191"/>
      <c r="B421" s="94" t="s">
        <v>945</v>
      </c>
      <c r="C421" s="95" t="s">
        <v>1638</v>
      </c>
      <c r="D421" s="360">
        <f>+ROUND(SUM('Alim CE Costi'!E899:E906),2)</f>
        <v>1730243.26</v>
      </c>
      <c r="E421" s="360">
        <f>+ROUND(SUM('Alim CE Costi'!H899:H906),2)</f>
        <v>1570264.37</v>
      </c>
      <c r="F421" s="59"/>
      <c r="G421" s="200"/>
      <c r="H421" s="91"/>
    </row>
    <row r="422" spans="1:8" ht="25.5">
      <c r="A422" s="191"/>
      <c r="B422" s="94" t="s">
        <v>946</v>
      </c>
      <c r="C422" s="95" t="s">
        <v>1639</v>
      </c>
      <c r="D422" s="360">
        <f>+ROUND(SUM('Alim CE Costi'!E908:E915),2)</f>
        <v>77833.48</v>
      </c>
      <c r="E422" s="360">
        <f>+ROUND(SUM('Alim CE Costi'!H908:H915),2)</f>
        <v>122313.87</v>
      </c>
      <c r="F422" s="59"/>
      <c r="G422" s="200"/>
      <c r="H422" s="91"/>
    </row>
    <row r="423" spans="1:8" ht="25.5">
      <c r="A423" s="191"/>
      <c r="B423" s="94" t="s">
        <v>948</v>
      </c>
      <c r="C423" s="95" t="s">
        <v>1640</v>
      </c>
      <c r="D423" s="360">
        <f>+ROUND('Alim CE Costi'!E917,2)</f>
        <v>0</v>
      </c>
      <c r="E423" s="360">
        <f>+ROUND('Alim CE Costi'!H917,2)</f>
        <v>0</v>
      </c>
      <c r="F423" s="59"/>
      <c r="G423" s="200"/>
      <c r="H423" s="91"/>
    </row>
    <row r="424" spans="1:8" ht="25.5">
      <c r="A424" s="191"/>
      <c r="B424" s="112" t="s">
        <v>949</v>
      </c>
      <c r="C424" s="113" t="s">
        <v>1641</v>
      </c>
      <c r="D424" s="358">
        <f t="shared" ref="D424" si="170">SUM(D425:D427)</f>
        <v>4887633.59</v>
      </c>
      <c r="E424" s="358">
        <f t="shared" ref="E424" si="171">SUM(E425:E427)</f>
        <v>4249843.07</v>
      </c>
      <c r="F424" s="59" t="s">
        <v>1835</v>
      </c>
      <c r="G424" s="200"/>
      <c r="H424" s="91"/>
    </row>
    <row r="425" spans="1:8" ht="25.5">
      <c r="A425" s="191"/>
      <c r="B425" s="94" t="s">
        <v>950</v>
      </c>
      <c r="C425" s="95" t="s">
        <v>1642</v>
      </c>
      <c r="D425" s="360">
        <f>+ROUND(SUM('Alim CE Costi'!E920:E932),2)</f>
        <v>4477266.3600000003</v>
      </c>
      <c r="E425" s="360">
        <f>+ROUND(SUM('Alim CE Costi'!H920:H932),2)</f>
        <v>3613804.93</v>
      </c>
      <c r="F425" s="59"/>
      <c r="G425" s="200"/>
      <c r="H425" s="91"/>
    </row>
    <row r="426" spans="1:8" ht="25.5">
      <c r="A426" s="191"/>
      <c r="B426" s="94" t="s">
        <v>951</v>
      </c>
      <c r="C426" s="95" t="s">
        <v>1643</v>
      </c>
      <c r="D426" s="360">
        <f>+ROUND(SUM('Alim CE Costi'!E934:E946),2)</f>
        <v>410367.23</v>
      </c>
      <c r="E426" s="360">
        <f>+ROUND(SUM('Alim CE Costi'!H934:H946),2)</f>
        <v>636038.14</v>
      </c>
      <c r="F426" s="59"/>
      <c r="G426" s="200"/>
      <c r="H426" s="91"/>
    </row>
    <row r="427" spans="1:8" ht="25.5">
      <c r="A427" s="191"/>
      <c r="B427" s="94" t="s">
        <v>953</v>
      </c>
      <c r="C427" s="95" t="s">
        <v>1644</v>
      </c>
      <c r="D427" s="360">
        <f>+ROUND('Alim CE Costi'!E948,2)</f>
        <v>0</v>
      </c>
      <c r="E427" s="360">
        <f>+ROUND('Alim CE Costi'!H948,2)</f>
        <v>0</v>
      </c>
      <c r="F427" s="59"/>
      <c r="G427" s="200"/>
      <c r="H427" s="91"/>
    </row>
    <row r="428" spans="1:8" ht="18.75">
      <c r="A428" s="191"/>
      <c r="B428" s="117" t="s">
        <v>954</v>
      </c>
      <c r="C428" s="118" t="s">
        <v>1645</v>
      </c>
      <c r="D428" s="357">
        <f t="shared" ref="D428" si="172">+D429+D430+D431</f>
        <v>846055.06</v>
      </c>
      <c r="E428" s="357">
        <f t="shared" ref="E428" si="173">+E429+E430+E431</f>
        <v>942069.08000000007</v>
      </c>
      <c r="F428" s="59" t="s">
        <v>1835</v>
      </c>
      <c r="G428" s="200"/>
      <c r="H428" s="91"/>
    </row>
    <row r="429" spans="1:8" ht="18.75">
      <c r="A429" s="191"/>
      <c r="B429" s="92" t="s">
        <v>955</v>
      </c>
      <c r="C429" s="93" t="s">
        <v>1646</v>
      </c>
      <c r="D429" s="365">
        <f>+ROUND(SUM('Alim CE Costi'!E951:E957),2)</f>
        <v>76225.94</v>
      </c>
      <c r="E429" s="365">
        <f>+ROUND(SUM('Alim CE Costi'!H951:H957),2)</f>
        <v>66485.649999999994</v>
      </c>
      <c r="F429" s="59"/>
      <c r="G429" s="200"/>
      <c r="H429" s="91"/>
    </row>
    <row r="430" spans="1:8" ht="18.75">
      <c r="A430" s="191"/>
      <c r="B430" s="92" t="s">
        <v>964</v>
      </c>
      <c r="C430" s="93" t="s">
        <v>1647</v>
      </c>
      <c r="D430" s="365">
        <f>+ROUND('Alim CE Costi'!E959,2)</f>
        <v>0</v>
      </c>
      <c r="E430" s="365">
        <f>+ROUND('Alim CE Costi'!H959,2)</f>
        <v>0</v>
      </c>
      <c r="F430" s="59"/>
      <c r="G430" s="200"/>
      <c r="H430" s="91"/>
    </row>
    <row r="431" spans="1:8" ht="18.75">
      <c r="A431" s="191"/>
      <c r="B431" s="112" t="s">
        <v>966</v>
      </c>
      <c r="C431" s="113" t="s">
        <v>1648</v>
      </c>
      <c r="D431" s="358">
        <f t="shared" ref="D431" si="174">+D432+D433+D434+D435</f>
        <v>769829.12</v>
      </c>
      <c r="E431" s="358">
        <f t="shared" ref="E431" si="175">+E432+E433+E434+E435</f>
        <v>875583.43</v>
      </c>
      <c r="F431" s="59" t="s">
        <v>1835</v>
      </c>
      <c r="G431" s="200"/>
      <c r="H431" s="91"/>
    </row>
    <row r="432" spans="1:8" ht="25.5">
      <c r="A432" s="191"/>
      <c r="B432" s="94" t="s">
        <v>967</v>
      </c>
      <c r="C432" s="95" t="s">
        <v>1649</v>
      </c>
      <c r="D432" s="360">
        <f>+ROUND(SUM('Alim CE Costi'!E963:E973),2)</f>
        <v>769552.8</v>
      </c>
      <c r="E432" s="360">
        <f>+ROUND(SUM('Alim CE Costi'!H963:H973),2)</f>
        <v>875151.37</v>
      </c>
      <c r="F432" s="59"/>
      <c r="G432" s="200"/>
      <c r="H432" s="91"/>
    </row>
    <row r="433" spans="1:8" ht="18.75">
      <c r="A433" s="191"/>
      <c r="B433" s="94" t="s">
        <v>974</v>
      </c>
      <c r="C433" s="95" t="s">
        <v>1650</v>
      </c>
      <c r="D433" s="360">
        <f>+ROUND('Alim CE Costi'!E975+'Alim CE Costi'!E976+'Alim CE Costi'!E977,2)</f>
        <v>276.32</v>
      </c>
      <c r="E433" s="360">
        <f>+ROUND('Alim CE Costi'!H975+'Alim CE Costi'!H976+'Alim CE Costi'!H977,2)</f>
        <v>432.06</v>
      </c>
      <c r="F433" s="59"/>
      <c r="G433" s="200"/>
      <c r="H433" s="91"/>
    </row>
    <row r="434" spans="1:8" ht="25.5">
      <c r="A434" s="191" t="s">
        <v>1248</v>
      </c>
      <c r="B434" s="94" t="s">
        <v>978</v>
      </c>
      <c r="C434" s="95" t="s">
        <v>1651</v>
      </c>
      <c r="D434" s="360">
        <f>+ROUND('Alim CE Costi'!E979,2)</f>
        <v>0</v>
      </c>
      <c r="E434" s="360">
        <f>+ROUND('Alim CE Costi'!H979,2)</f>
        <v>0</v>
      </c>
      <c r="F434" s="59"/>
      <c r="G434" s="200"/>
      <c r="H434" s="91"/>
    </row>
    <row r="435" spans="1:8" ht="25.5">
      <c r="A435" s="191"/>
      <c r="B435" s="94" t="s">
        <v>980</v>
      </c>
      <c r="C435" s="95" t="s">
        <v>1652</v>
      </c>
      <c r="D435" s="360">
        <f>+ROUND('Alim CE Costi'!E981,2)</f>
        <v>0</v>
      </c>
      <c r="E435" s="360">
        <f>+ROUND('Alim CE Costi'!H981,2)</f>
        <v>0</v>
      </c>
      <c r="F435" s="59"/>
      <c r="G435" s="200"/>
      <c r="H435" s="91"/>
    </row>
    <row r="436" spans="1:8" ht="18.75">
      <c r="A436" s="191"/>
      <c r="B436" s="134" t="s">
        <v>1653</v>
      </c>
      <c r="C436" s="135" t="s">
        <v>1654</v>
      </c>
      <c r="D436" s="367">
        <f t="shared" ref="D436" si="176">+D437+D438</f>
        <v>188434.77</v>
      </c>
      <c r="E436" s="367">
        <f t="shared" ref="E436" si="177">+E437+E438</f>
        <v>165261.28</v>
      </c>
      <c r="F436" s="59" t="s">
        <v>1835</v>
      </c>
      <c r="G436" s="200"/>
      <c r="H436" s="91"/>
    </row>
    <row r="437" spans="1:8" ht="18.75">
      <c r="A437" s="191"/>
      <c r="B437" s="89" t="s">
        <v>981</v>
      </c>
      <c r="C437" s="90" t="s">
        <v>1655</v>
      </c>
      <c r="D437" s="360">
        <f>+ROUND(SUM('Alim CE Costi'!E983:E990),2)</f>
        <v>3728.28</v>
      </c>
      <c r="E437" s="360">
        <f>+ROUND(SUM('Alim CE Costi'!H983:H990),2)</f>
        <v>3904.91</v>
      </c>
      <c r="F437" s="59"/>
      <c r="G437" s="200"/>
      <c r="H437" s="91"/>
    </row>
    <row r="438" spans="1:8" ht="18.75">
      <c r="A438" s="191"/>
      <c r="B438" s="117" t="s">
        <v>989</v>
      </c>
      <c r="C438" s="118" t="s">
        <v>1656</v>
      </c>
      <c r="D438" s="357">
        <f t="shared" ref="D438" si="178">+D439+D442</f>
        <v>184706.49</v>
      </c>
      <c r="E438" s="357">
        <f t="shared" ref="E438" si="179">+E439+E442</f>
        <v>161356.37</v>
      </c>
      <c r="F438" s="59" t="s">
        <v>1835</v>
      </c>
      <c r="G438" s="200"/>
      <c r="H438" s="91"/>
    </row>
    <row r="439" spans="1:8" ht="18.75">
      <c r="A439" s="193"/>
      <c r="B439" s="112" t="s">
        <v>990</v>
      </c>
      <c r="C439" s="113" t="s">
        <v>1657</v>
      </c>
      <c r="D439" s="358">
        <f t="shared" ref="D439" si="180">+D440+D441</f>
        <v>0</v>
      </c>
      <c r="E439" s="358">
        <f t="shared" ref="E439" si="181">+E440+E441</f>
        <v>0</v>
      </c>
      <c r="F439" s="59" t="s">
        <v>1835</v>
      </c>
      <c r="G439" s="200"/>
      <c r="H439" s="91"/>
    </row>
    <row r="440" spans="1:8" ht="25.5">
      <c r="A440" s="193"/>
      <c r="B440" s="94" t="s">
        <v>992</v>
      </c>
      <c r="C440" s="95" t="s">
        <v>1658</v>
      </c>
      <c r="D440" s="360">
        <f>+ROUND('Alim CE Costi'!E994,2)</f>
        <v>0</v>
      </c>
      <c r="E440" s="360">
        <f>+ROUND('Alim CE Costi'!H994,2)</f>
        <v>0</v>
      </c>
      <c r="F440" s="303"/>
      <c r="G440" s="200"/>
      <c r="H440" s="91"/>
    </row>
    <row r="441" spans="1:8" ht="25.5">
      <c r="A441" s="193"/>
      <c r="B441" s="94" t="s">
        <v>994</v>
      </c>
      <c r="C441" s="95" t="s">
        <v>1659</v>
      </c>
      <c r="D441" s="360">
        <f>+ROUND('Alim CE Costi'!E996,2)</f>
        <v>0</v>
      </c>
      <c r="E441" s="360">
        <f>+ROUND('Alim CE Costi'!H996,2)</f>
        <v>0</v>
      </c>
      <c r="F441" s="303"/>
      <c r="G441" s="200"/>
      <c r="H441" s="91"/>
    </row>
    <row r="442" spans="1:8" ht="25.5">
      <c r="A442" s="193"/>
      <c r="B442" s="89" t="s">
        <v>995</v>
      </c>
      <c r="C442" s="90" t="s">
        <v>1660</v>
      </c>
      <c r="D442" s="360">
        <f>+ROUND(SUM('Alim CE Costi'!E998:E1002),2)</f>
        <v>184706.49</v>
      </c>
      <c r="E442" s="360">
        <f>+ROUND(SUM('Alim CE Costi'!H998:H1002),2)</f>
        <v>161356.37</v>
      </c>
      <c r="F442" s="303"/>
      <c r="G442" s="200"/>
      <c r="H442" s="91"/>
    </row>
    <row r="443" spans="1:8" ht="18.75">
      <c r="A443" s="193"/>
      <c r="B443" s="117" t="s">
        <v>1001</v>
      </c>
      <c r="C443" s="118" t="s">
        <v>1661</v>
      </c>
      <c r="D443" s="357">
        <f t="shared" ref="D443" si="182">+D444+D445</f>
        <v>0</v>
      </c>
      <c r="E443" s="357">
        <f t="shared" ref="E443" si="183">+E444+E445</f>
        <v>0</v>
      </c>
      <c r="F443" s="59" t="s">
        <v>1835</v>
      </c>
      <c r="G443" s="200"/>
      <c r="H443" s="91"/>
    </row>
    <row r="444" spans="1:8" ht="25.5">
      <c r="A444" s="193"/>
      <c r="B444" s="92" t="s">
        <v>1002</v>
      </c>
      <c r="C444" s="93" t="s">
        <v>1662</v>
      </c>
      <c r="D444" s="365">
        <f>+ROUND(SUM('Alim CE Costi'!E1006:E1020),2)</f>
        <v>0</v>
      </c>
      <c r="E444" s="365">
        <f>+ROUND(SUM('Alim CE Costi'!H1006:H1020),2)</f>
        <v>0</v>
      </c>
      <c r="F444" s="303"/>
      <c r="G444" s="200"/>
      <c r="H444" s="91"/>
    </row>
    <row r="445" spans="1:8" ht="18.75">
      <c r="A445" s="193"/>
      <c r="B445" s="92" t="s">
        <v>1018</v>
      </c>
      <c r="C445" s="93" t="s">
        <v>1663</v>
      </c>
      <c r="D445" s="360">
        <f>+ROUND(SUM('Alim CE Costi'!E1022:E1064),2)</f>
        <v>0</v>
      </c>
      <c r="E445" s="360">
        <f>+ROUND(SUM('Alim CE Costi'!H1022:H1064),2)</f>
        <v>0</v>
      </c>
      <c r="F445" s="303"/>
      <c r="G445" s="200"/>
      <c r="H445" s="91"/>
    </row>
    <row r="446" spans="1:8" ht="18.75">
      <c r="A446" s="193"/>
      <c r="B446" s="117" t="s">
        <v>1061</v>
      </c>
      <c r="C446" s="118" t="s">
        <v>1664</v>
      </c>
      <c r="D446" s="357">
        <f t="shared" ref="D446" si="184">+D447+D456</f>
        <v>-12636.510000000068</v>
      </c>
      <c r="E446" s="357">
        <f t="shared" ref="E446" si="185">+E447+E456</f>
        <v>-12369420.739999998</v>
      </c>
      <c r="F446" s="59" t="s">
        <v>1835</v>
      </c>
      <c r="G446" s="200"/>
      <c r="H446" s="91"/>
    </row>
    <row r="447" spans="1:8" ht="18.75">
      <c r="A447" s="193"/>
      <c r="B447" s="112" t="s">
        <v>1062</v>
      </c>
      <c r="C447" s="113" t="s">
        <v>1665</v>
      </c>
      <c r="D447" s="358">
        <f t="shared" ref="D447" si="186">SUM(D448:D455)</f>
        <v>-185721.45000000007</v>
      </c>
      <c r="E447" s="358">
        <f t="shared" ref="E447" si="187">SUM(E448:E455)</f>
        <v>-12775531.369999999</v>
      </c>
      <c r="F447" s="59" t="s">
        <v>1835</v>
      </c>
      <c r="G447" s="200"/>
      <c r="H447" s="91"/>
    </row>
    <row r="448" spans="1:8" ht="18.75">
      <c r="A448" s="193"/>
      <c r="B448" s="94" t="s">
        <v>1063</v>
      </c>
      <c r="C448" s="95" t="s">
        <v>1666</v>
      </c>
      <c r="D448" s="360">
        <f>+ROUND('Alim CE Costi'!E1068,2)</f>
        <v>-100684.65</v>
      </c>
      <c r="E448" s="360">
        <f>+ROUND('Alim CE Costi'!H1068,2)</f>
        <v>-10893715.439999999</v>
      </c>
      <c r="F448" s="303"/>
      <c r="G448" s="200"/>
      <c r="H448" s="91"/>
    </row>
    <row r="449" spans="1:8" ht="18.75">
      <c r="A449" s="193"/>
      <c r="B449" s="94" t="s">
        <v>1064</v>
      </c>
      <c r="C449" s="95" t="s">
        <v>1667</v>
      </c>
      <c r="D449" s="360">
        <f>+ROUND('Alim CE Costi'!E1070,2)</f>
        <v>0</v>
      </c>
      <c r="E449" s="360">
        <f>+ROUND('Alim CE Costi'!H1070,2)</f>
        <v>0</v>
      </c>
      <c r="F449" s="303"/>
      <c r="G449" s="200"/>
      <c r="H449" s="91"/>
    </row>
    <row r="450" spans="1:8" ht="18.75">
      <c r="A450" s="193"/>
      <c r="B450" s="94" t="s">
        <v>1065</v>
      </c>
      <c r="C450" s="95" t="s">
        <v>1668</v>
      </c>
      <c r="D450" s="360">
        <f>+ROUND('Alim CE Costi'!E1072,2)</f>
        <v>1128606.6399999999</v>
      </c>
      <c r="E450" s="360">
        <f>+ROUND('Alim CE Costi'!H1072,2)</f>
        <v>-1995933.73</v>
      </c>
      <c r="F450" s="303"/>
      <c r="G450" s="200"/>
      <c r="H450" s="91"/>
    </row>
    <row r="451" spans="1:8" ht="18.75">
      <c r="A451" s="193"/>
      <c r="B451" s="94" t="s">
        <v>1066</v>
      </c>
      <c r="C451" s="95" t="s">
        <v>1669</v>
      </c>
      <c r="D451" s="360">
        <f>+ROUND('Alim CE Costi'!E1074,2)</f>
        <v>-24949.67</v>
      </c>
      <c r="E451" s="360">
        <f>+ROUND('Alim CE Costi'!H1074,2)</f>
        <v>-103481</v>
      </c>
      <c r="F451" s="303"/>
      <c r="G451" s="200"/>
      <c r="H451" s="91"/>
    </row>
    <row r="452" spans="1:8" ht="18.75">
      <c r="A452" s="193"/>
      <c r="B452" s="94" t="s">
        <v>1067</v>
      </c>
      <c r="C452" s="95" t="s">
        <v>1670</v>
      </c>
      <c r="D452" s="360">
        <f>+ROUND('Alim CE Costi'!E1076,2)</f>
        <v>-1184071.6399999999</v>
      </c>
      <c r="E452" s="360">
        <f>+ROUND('Alim CE Costi'!H1076,2)</f>
        <v>-61261.68</v>
      </c>
      <c r="F452" s="303"/>
      <c r="G452" s="200"/>
      <c r="H452" s="91"/>
    </row>
    <row r="453" spans="1:8" ht="18.75">
      <c r="A453" s="193"/>
      <c r="B453" s="94" t="s">
        <v>1068</v>
      </c>
      <c r="C453" s="95" t="s">
        <v>1671</v>
      </c>
      <c r="D453" s="360">
        <f>+ROUND('Alim CE Costi'!E1078,2)</f>
        <v>5214.12</v>
      </c>
      <c r="E453" s="360">
        <f>+ROUND('Alim CE Costi'!H1078,2)</f>
        <v>-10347.68</v>
      </c>
      <c r="F453" s="303"/>
      <c r="G453" s="200"/>
      <c r="H453" s="91"/>
    </row>
    <row r="454" spans="1:8" ht="18.75">
      <c r="A454" s="193"/>
      <c r="B454" s="94" t="s">
        <v>1069</v>
      </c>
      <c r="C454" s="95" t="s">
        <v>1672</v>
      </c>
      <c r="D454" s="360">
        <f>+ROUND('Alim CE Costi'!E1080,2)</f>
        <v>4090.97</v>
      </c>
      <c r="E454" s="360">
        <f>+ROUND('Alim CE Costi'!H1080,2)</f>
        <v>-28708.95</v>
      </c>
      <c r="F454" s="303"/>
      <c r="G454" s="200"/>
      <c r="H454" s="91"/>
    </row>
    <row r="455" spans="1:8" ht="18.75">
      <c r="A455" s="193"/>
      <c r="B455" s="94" t="s">
        <v>1070</v>
      </c>
      <c r="C455" s="95" t="s">
        <v>1673</v>
      </c>
      <c r="D455" s="360">
        <f>+ROUND('Alim CE Costi'!E1082,2)</f>
        <v>-13927.22</v>
      </c>
      <c r="E455" s="360">
        <f>+ROUND('Alim CE Costi'!H1082,2)</f>
        <v>317917.11</v>
      </c>
      <c r="F455" s="303"/>
      <c r="G455" s="200"/>
      <c r="H455" s="91"/>
    </row>
    <row r="456" spans="1:8" ht="18.75">
      <c r="A456" s="193"/>
      <c r="B456" s="112" t="s">
        <v>1071</v>
      </c>
      <c r="C456" s="113" t="s">
        <v>1674</v>
      </c>
      <c r="D456" s="358">
        <f t="shared" ref="D456" si="188">SUM(D457:D462)</f>
        <v>173084.94</v>
      </c>
      <c r="E456" s="358">
        <f t="shared" ref="E456" si="189">SUM(E457:E462)</f>
        <v>406110.62999999995</v>
      </c>
      <c r="F456" s="59" t="s">
        <v>1835</v>
      </c>
      <c r="G456" s="200"/>
      <c r="H456" s="91"/>
    </row>
    <row r="457" spans="1:8" ht="18.75">
      <c r="A457" s="193"/>
      <c r="B457" s="94" t="s">
        <v>1072</v>
      </c>
      <c r="C457" s="95" t="s">
        <v>1675</v>
      </c>
      <c r="D457" s="360">
        <f>+ROUND('Alim CE Costi'!E1085,2)</f>
        <v>1809.19</v>
      </c>
      <c r="E457" s="360">
        <f>+ROUND('Alim CE Costi'!H1085,2)</f>
        <v>-224.46</v>
      </c>
      <c r="F457" s="303"/>
      <c r="G457" s="200"/>
      <c r="H457" s="91"/>
    </row>
    <row r="458" spans="1:8" ht="25.5">
      <c r="A458" s="193"/>
      <c r="B458" s="94" t="s">
        <v>1073</v>
      </c>
      <c r="C458" s="95" t="s">
        <v>1676</v>
      </c>
      <c r="D458" s="360">
        <f>+ROUND('Alim CE Costi'!E1087,2)</f>
        <v>162077.07999999999</v>
      </c>
      <c r="E458" s="360">
        <f>+ROUND('Alim CE Costi'!H1087,2)</f>
        <v>411616.5</v>
      </c>
      <c r="F458" s="303"/>
      <c r="G458" s="200"/>
      <c r="H458" s="91"/>
    </row>
    <row r="459" spans="1:8" ht="18.75">
      <c r="A459" s="193"/>
      <c r="B459" s="94" t="s">
        <v>1074</v>
      </c>
      <c r="C459" s="95" t="s">
        <v>1677</v>
      </c>
      <c r="D459" s="360">
        <f>+ROUND('Alim CE Costi'!E1089,2)</f>
        <v>0</v>
      </c>
      <c r="E459" s="360">
        <f>+ROUND('Alim CE Costi'!H1089,2)</f>
        <v>0</v>
      </c>
      <c r="F459" s="303"/>
      <c r="G459" s="200"/>
      <c r="H459" s="91"/>
    </row>
    <row r="460" spans="1:8" ht="18.75">
      <c r="A460" s="193"/>
      <c r="B460" s="94" t="s">
        <v>1075</v>
      </c>
      <c r="C460" s="95" t="s">
        <v>1678</v>
      </c>
      <c r="D460" s="360">
        <f>+ROUND('Alim CE Costi'!E1091,2)</f>
        <v>-5079.0200000000004</v>
      </c>
      <c r="E460" s="360">
        <f>+ROUND('Alim CE Costi'!H1091,2)</f>
        <v>7426.1</v>
      </c>
      <c r="F460" s="303"/>
      <c r="G460" s="200"/>
      <c r="H460" s="91"/>
    </row>
    <row r="461" spans="1:8" ht="18.75">
      <c r="A461" s="193"/>
      <c r="B461" s="94" t="s">
        <v>1076</v>
      </c>
      <c r="C461" s="95" t="s">
        <v>1679</v>
      </c>
      <c r="D461" s="360">
        <f>+ROUND('Alim CE Costi'!E1093,2)</f>
        <v>15177.41</v>
      </c>
      <c r="E461" s="360">
        <f>+ROUND('Alim CE Costi'!H1093,2)</f>
        <v>-16552.63</v>
      </c>
      <c r="F461" s="303"/>
      <c r="G461" s="200"/>
      <c r="H461" s="91"/>
    </row>
    <row r="462" spans="1:8" ht="18.75">
      <c r="A462" s="193"/>
      <c r="B462" s="94" t="s">
        <v>1077</v>
      </c>
      <c r="C462" s="95" t="s">
        <v>1680</v>
      </c>
      <c r="D462" s="360">
        <f>+ROUND('Alim CE Costi'!E1095,2)</f>
        <v>-899.72</v>
      </c>
      <c r="E462" s="360">
        <f>+ROUND('Alim CE Costi'!H1095,2)</f>
        <v>3845.12</v>
      </c>
      <c r="F462" s="303"/>
      <c r="G462" s="200"/>
      <c r="H462" s="91"/>
    </row>
    <row r="463" spans="1:8" ht="18.75">
      <c r="A463" s="193"/>
      <c r="B463" s="117" t="s">
        <v>1078</v>
      </c>
      <c r="C463" s="118" t="s">
        <v>1681</v>
      </c>
      <c r="D463" s="357">
        <f t="shared" ref="D463" si="190">+D464+D472+D473+D480</f>
        <v>51143053.510000005</v>
      </c>
      <c r="E463" s="357">
        <f t="shared" ref="E463" si="191">+E464+E472+E473+E480</f>
        <v>35290825.199999996</v>
      </c>
      <c r="F463" s="59" t="s">
        <v>1835</v>
      </c>
      <c r="G463" s="200"/>
      <c r="H463" s="91"/>
    </row>
    <row r="464" spans="1:8" ht="18.75">
      <c r="A464" s="193"/>
      <c r="B464" s="112" t="s">
        <v>1079</v>
      </c>
      <c r="C464" s="113" t="s">
        <v>1682</v>
      </c>
      <c r="D464" s="358">
        <f t="shared" ref="D464" si="192">SUM(D465:D471)</f>
        <v>17163207.380000003</v>
      </c>
      <c r="E464" s="358">
        <f t="shared" ref="E464" si="193">SUM(E465:E471)</f>
        <v>14801743.380000001</v>
      </c>
      <c r="F464" s="59" t="s">
        <v>1835</v>
      </c>
      <c r="G464" s="200"/>
      <c r="H464" s="91"/>
    </row>
    <row r="465" spans="1:8" ht="25.5">
      <c r="A465" s="193"/>
      <c r="B465" s="94" t="s">
        <v>1081</v>
      </c>
      <c r="C465" s="95" t="s">
        <v>1683</v>
      </c>
      <c r="D465" s="360">
        <f>+ROUND('Alim CE Costi'!E1099,2)</f>
        <v>51479.6</v>
      </c>
      <c r="E465" s="360">
        <f>+ROUND('Alim CE Costi'!H1099,2)</f>
        <v>0</v>
      </c>
      <c r="F465" s="303"/>
      <c r="G465" s="200"/>
      <c r="H465" s="91"/>
    </row>
    <row r="466" spans="1:8" ht="25.5">
      <c r="A466" s="193"/>
      <c r="B466" s="94" t="s">
        <v>1083</v>
      </c>
      <c r="C466" s="95" t="s">
        <v>1684</v>
      </c>
      <c r="D466" s="360">
        <f>+ROUND('Alim CE Costi'!E1101,2)</f>
        <v>0</v>
      </c>
      <c r="E466" s="360">
        <f>+ROUND('Alim CE Costi'!H1101,2)</f>
        <v>0</v>
      </c>
      <c r="F466" s="303"/>
      <c r="G466" s="200"/>
      <c r="H466" s="91"/>
    </row>
    <row r="467" spans="1:8" ht="25.5">
      <c r="A467" s="193"/>
      <c r="B467" s="94" t="s">
        <v>1085</v>
      </c>
      <c r="C467" s="95" t="s">
        <v>1685</v>
      </c>
      <c r="D467" s="360">
        <f>+ROUND('Alim CE Costi'!E1103,2)</f>
        <v>0</v>
      </c>
      <c r="E467" s="360">
        <f>+ROUND('Alim CE Costi'!H1103,2)</f>
        <v>0</v>
      </c>
      <c r="F467" s="303"/>
      <c r="G467" s="200"/>
      <c r="H467" s="91"/>
    </row>
    <row r="468" spans="1:8" ht="25.5">
      <c r="A468" s="193"/>
      <c r="B468" s="94" t="s">
        <v>1087</v>
      </c>
      <c r="C468" s="95" t="s">
        <v>1686</v>
      </c>
      <c r="D468" s="360">
        <f>+ROUND('Alim CE Costi'!E1105,2)</f>
        <v>0</v>
      </c>
      <c r="E468" s="360">
        <f>+ROUND('Alim CE Costi'!H1105,2)</f>
        <v>0</v>
      </c>
      <c r="F468" s="303"/>
      <c r="G468" s="200"/>
      <c r="H468" s="91"/>
    </row>
    <row r="469" spans="1:8" ht="18.75">
      <c r="A469" s="193"/>
      <c r="B469" s="94" t="s">
        <v>1089</v>
      </c>
      <c r="C469" s="95" t="s">
        <v>1687</v>
      </c>
      <c r="D469" s="360">
        <f>+ROUND('Alim CE Costi'!E1107,2)</f>
        <v>17111727.780000001</v>
      </c>
      <c r="E469" s="360">
        <f>+ROUND('Alim CE Costi'!H1107,2)</f>
        <v>13801743.380000001</v>
      </c>
      <c r="F469" s="303"/>
      <c r="G469" s="200"/>
      <c r="H469" s="91"/>
    </row>
    <row r="470" spans="1:8" ht="18.75">
      <c r="A470" s="193"/>
      <c r="B470" s="94" t="s">
        <v>1091</v>
      </c>
      <c r="C470" s="95" t="s">
        <v>1688</v>
      </c>
      <c r="D470" s="360">
        <f>+ROUND('Alim CE Costi'!E1109+'Alim CE Costi'!E1110+'Alim CE Costi'!E1111,2)</f>
        <v>0</v>
      </c>
      <c r="E470" s="360">
        <f>+ROUND('Alim CE Costi'!H1109+'Alim CE Costi'!H1110+'Alim CE Costi'!H1111,2)</f>
        <v>0</v>
      </c>
      <c r="F470" s="303"/>
      <c r="G470" s="200"/>
      <c r="H470" s="91"/>
    </row>
    <row r="471" spans="1:8" ht="18.75">
      <c r="A471" s="193"/>
      <c r="B471" s="94" t="s">
        <v>1095</v>
      </c>
      <c r="C471" s="95" t="s">
        <v>1689</v>
      </c>
      <c r="D471" s="360">
        <f>+ROUND('Alim CE Costi'!E1113,2)</f>
        <v>0</v>
      </c>
      <c r="E471" s="360">
        <f>+ROUND('Alim CE Costi'!H1113,2)</f>
        <v>1000000</v>
      </c>
      <c r="F471" s="303"/>
      <c r="G471" s="200"/>
      <c r="H471" s="91"/>
    </row>
    <row r="472" spans="1:8" ht="25.5">
      <c r="A472" s="193"/>
      <c r="B472" s="92" t="s">
        <v>1096</v>
      </c>
      <c r="C472" s="93" t="s">
        <v>1690</v>
      </c>
      <c r="D472" s="360">
        <f>+ROUND('Alim CE Costi'!E1115+'Alim CE Costi'!E1116,2)</f>
        <v>0</v>
      </c>
      <c r="E472" s="360">
        <f>+ROUND('Alim CE Costi'!H1115+'Alim CE Costi'!H1116,2)</f>
        <v>0</v>
      </c>
      <c r="F472" s="303"/>
      <c r="G472" s="200"/>
      <c r="H472" s="91"/>
    </row>
    <row r="473" spans="1:8" ht="25.5">
      <c r="A473" s="193"/>
      <c r="B473" s="112" t="s">
        <v>1099</v>
      </c>
      <c r="C473" s="113" t="s">
        <v>1691</v>
      </c>
      <c r="D473" s="358">
        <f t="shared" ref="D473" si="194">SUM(D474:D479)</f>
        <v>33433716.41</v>
      </c>
      <c r="E473" s="358">
        <f t="shared" ref="E473" si="195">SUM(E474:E479)</f>
        <v>17878008.77</v>
      </c>
      <c r="F473" s="59" t="s">
        <v>1835</v>
      </c>
      <c r="G473" s="200"/>
      <c r="H473" s="91"/>
    </row>
    <row r="474" spans="1:8" ht="25.5">
      <c r="A474" s="193"/>
      <c r="B474" s="94" t="s">
        <v>1100</v>
      </c>
      <c r="C474" s="95" t="s">
        <v>1692</v>
      </c>
      <c r="D474" s="360">
        <f>+ROUND('Alim CE Costi'!E1119,2)</f>
        <v>2472260.96</v>
      </c>
      <c r="E474" s="360">
        <f>+ROUND('Alim CE Costi'!H1119,2)</f>
        <v>15774563</v>
      </c>
      <c r="F474" s="303"/>
      <c r="G474" s="200"/>
      <c r="H474" s="91"/>
    </row>
    <row r="475" spans="1:8" ht="25.5">
      <c r="A475" s="193"/>
      <c r="B475" s="94" t="s">
        <v>1102</v>
      </c>
      <c r="C475" s="95" t="s">
        <v>1693</v>
      </c>
      <c r="D475" s="360">
        <f>+ROUND('Alim CE Costi'!E1121,2)</f>
        <v>0</v>
      </c>
      <c r="E475" s="360">
        <f>+ROUND('Alim CE Costi'!H1121,2)</f>
        <v>0</v>
      </c>
      <c r="F475" s="303"/>
      <c r="G475" s="200"/>
      <c r="H475" s="91"/>
    </row>
    <row r="476" spans="1:8" ht="25.5">
      <c r="A476" s="193"/>
      <c r="B476" s="94" t="s">
        <v>1104</v>
      </c>
      <c r="C476" s="95" t="s">
        <v>1694</v>
      </c>
      <c r="D476" s="360">
        <f>+ROUND('Alim CE Costi'!E1123,2)</f>
        <v>30854886.870000001</v>
      </c>
      <c r="E476" s="360">
        <f>+ROUND('Alim CE Costi'!H1123,2)</f>
        <v>2103220.54</v>
      </c>
      <c r="F476" s="303"/>
      <c r="G476" s="200"/>
      <c r="H476" s="91"/>
    </row>
    <row r="477" spans="1:8" ht="25.5">
      <c r="A477" s="193"/>
      <c r="B477" s="94" t="s">
        <v>1106</v>
      </c>
      <c r="C477" s="95" t="s">
        <v>1695</v>
      </c>
      <c r="D477" s="360">
        <f>+ROUND('Alim CE Costi'!E1125,2)</f>
        <v>0</v>
      </c>
      <c r="E477" s="360">
        <f>+ROUND('Alim CE Costi'!H1125,2)</f>
        <v>0</v>
      </c>
      <c r="F477" s="303"/>
      <c r="G477" s="200"/>
      <c r="H477" s="91"/>
    </row>
    <row r="478" spans="1:8" ht="25.5">
      <c r="A478" s="193"/>
      <c r="B478" s="94" t="s">
        <v>1107</v>
      </c>
      <c r="C478" s="95" t="s">
        <v>1696</v>
      </c>
      <c r="D478" s="360">
        <f>+ROUND('Alim CE Costi'!E1127+'Alim CE Costi'!E1128,2)</f>
        <v>106568.58</v>
      </c>
      <c r="E478" s="360">
        <f>+ROUND('Alim CE Costi'!H1127+'Alim CE Costi'!H1128,2)</f>
        <v>225.23</v>
      </c>
      <c r="F478" s="303"/>
      <c r="G478" s="200"/>
      <c r="H478" s="91"/>
    </row>
    <row r="479" spans="1:8" ht="25.5">
      <c r="A479" s="193"/>
      <c r="B479" s="94" t="s">
        <v>1111</v>
      </c>
      <c r="C479" s="95" t="s">
        <v>1697</v>
      </c>
      <c r="D479" s="360">
        <f>+ROUND('Alim CE Costi'!E1130,2)</f>
        <v>0</v>
      </c>
      <c r="E479" s="360">
        <f>+ROUND('Alim CE Costi'!H1130,2)</f>
        <v>0</v>
      </c>
      <c r="F479" s="303"/>
      <c r="G479" s="200"/>
      <c r="H479" s="91"/>
    </row>
    <row r="480" spans="1:8" ht="18.75">
      <c r="A480" s="193"/>
      <c r="B480" s="112" t="s">
        <v>1113</v>
      </c>
      <c r="C480" s="113" t="s">
        <v>1698</v>
      </c>
      <c r="D480" s="358">
        <f t="shared" ref="D480" si="196">SUM(D481:D490)</f>
        <v>546129.72</v>
      </c>
      <c r="E480" s="358">
        <f t="shared" ref="E480" si="197">SUM(E481:E490)</f>
        <v>2611073.0499999998</v>
      </c>
      <c r="F480" s="59" t="s">
        <v>1835</v>
      </c>
      <c r="G480" s="200"/>
      <c r="H480" s="91"/>
    </row>
    <row r="481" spans="1:24" ht="18.75">
      <c r="A481" s="193"/>
      <c r="B481" s="101" t="s">
        <v>1115</v>
      </c>
      <c r="C481" s="102" t="s">
        <v>1699</v>
      </c>
      <c r="D481" s="360">
        <f>+ROUND('Alim CE Costi'!E1133,2)</f>
        <v>0</v>
      </c>
      <c r="E481" s="360">
        <f>+ROUND('Alim CE Costi'!H1133,2)</f>
        <v>0</v>
      </c>
      <c r="F481" s="303"/>
      <c r="G481" s="200"/>
      <c r="H481" s="91"/>
    </row>
    <row r="482" spans="1:24" ht="18.75">
      <c r="A482" s="193"/>
      <c r="B482" s="101" t="s">
        <v>1117</v>
      </c>
      <c r="C482" s="102" t="s">
        <v>1700</v>
      </c>
      <c r="D482" s="360">
        <f>+ROUND('Alim CE Costi'!E1135,2)</f>
        <v>0</v>
      </c>
      <c r="E482" s="360">
        <f>+ROUND('Alim CE Costi'!H1135,2)</f>
        <v>0</v>
      </c>
      <c r="F482" s="303"/>
      <c r="G482" s="200"/>
      <c r="H482" s="91"/>
      <c r="X482" s="800"/>
    </row>
    <row r="483" spans="1:24" ht="18.75">
      <c r="A483" s="193"/>
      <c r="B483" s="101" t="s">
        <v>1119</v>
      </c>
      <c r="C483" s="102" t="s">
        <v>1701</v>
      </c>
      <c r="D483" s="360">
        <f>+ROUND('Alim CE Costi'!E1137,2)</f>
        <v>14205.72</v>
      </c>
      <c r="E483" s="360">
        <f>+ROUND('Alim CE Costi'!H1137,2)</f>
        <v>2013788.41</v>
      </c>
      <c r="F483" s="303"/>
      <c r="G483" s="200"/>
      <c r="H483" s="91"/>
    </row>
    <row r="484" spans="1:24" ht="18.75">
      <c r="A484" s="193"/>
      <c r="B484" s="94" t="s">
        <v>1121</v>
      </c>
      <c r="C484" s="95" t="s">
        <v>1702</v>
      </c>
      <c r="D484" s="360">
        <f>+ROUND('Alim CE Costi'!E1139,2)</f>
        <v>95349.72</v>
      </c>
      <c r="E484" s="360">
        <f>+ROUND('Alim CE Costi'!H1139,2)</f>
        <v>68721.3</v>
      </c>
      <c r="F484" s="303"/>
      <c r="G484" s="200"/>
      <c r="H484" s="91"/>
    </row>
    <row r="485" spans="1:24" ht="18.75">
      <c r="A485" s="193"/>
      <c r="B485" s="94" t="s">
        <v>1123</v>
      </c>
      <c r="C485" s="95" t="s">
        <v>1703</v>
      </c>
      <c r="D485" s="360">
        <f>+ROUND('Alim CE Costi'!E1141,2)</f>
        <v>187243.48</v>
      </c>
      <c r="E485" s="360">
        <f>+ROUND('Alim CE Costi'!H1141,2)</f>
        <v>0</v>
      </c>
      <c r="F485" s="303"/>
      <c r="G485" s="200"/>
      <c r="H485" s="91"/>
    </row>
    <row r="486" spans="1:24" ht="18.75">
      <c r="A486" s="193"/>
      <c r="B486" s="94" t="s">
        <v>1125</v>
      </c>
      <c r="C486" s="95" t="s">
        <v>1704</v>
      </c>
      <c r="D486" s="360">
        <f>+ROUND('Alim CE Costi'!E1143,2)</f>
        <v>0</v>
      </c>
      <c r="E486" s="360">
        <f>+ROUND('Alim CE Costi'!H1143,2)</f>
        <v>0</v>
      </c>
      <c r="F486" s="303"/>
      <c r="G486" s="200"/>
      <c r="H486" s="91"/>
    </row>
    <row r="487" spans="1:24" ht="18.75">
      <c r="A487" s="193"/>
      <c r="B487" s="94" t="s">
        <v>1127</v>
      </c>
      <c r="C487" s="95" t="s">
        <v>1705</v>
      </c>
      <c r="D487" s="360">
        <f>+ROUND('Alim CE Costi'!E1145,2)</f>
        <v>0</v>
      </c>
      <c r="E487" s="360">
        <f>+ROUND('Alim CE Costi'!H1145,2)</f>
        <v>0</v>
      </c>
      <c r="F487" s="303"/>
      <c r="G487" s="200"/>
      <c r="H487" s="91"/>
    </row>
    <row r="488" spans="1:24" ht="18.75">
      <c r="A488" s="193"/>
      <c r="B488" s="94" t="s">
        <v>1129</v>
      </c>
      <c r="C488" s="95" t="s">
        <v>1706</v>
      </c>
      <c r="D488" s="360">
        <f>+ROUND('Alim CE Costi'!E1147,2)</f>
        <v>0</v>
      </c>
      <c r="E488" s="360">
        <f>+ROUND('Alim CE Costi'!H1147,2)</f>
        <v>0</v>
      </c>
      <c r="F488" s="303"/>
      <c r="G488" s="200"/>
      <c r="H488" s="91"/>
    </row>
    <row r="489" spans="1:24" ht="25.5">
      <c r="A489" s="193"/>
      <c r="B489" s="94" t="s">
        <v>1131</v>
      </c>
      <c r="C489" s="95" t="s">
        <v>1707</v>
      </c>
      <c r="D489" s="360">
        <f>+ROUND('Alim CE Costi'!E1149,2)</f>
        <v>249330.8</v>
      </c>
      <c r="E489" s="360">
        <f>+ROUND('Alim CE Costi'!H1149,2)</f>
        <v>3449.65</v>
      </c>
      <c r="F489" s="303"/>
      <c r="G489" s="200"/>
      <c r="H489" s="91"/>
    </row>
    <row r="490" spans="1:24" ht="18.75">
      <c r="A490" s="193"/>
      <c r="B490" s="101" t="s">
        <v>1132</v>
      </c>
      <c r="C490" s="103" t="s">
        <v>1708</v>
      </c>
      <c r="D490" s="360">
        <f>+ROUND('Alim CE Costi'!E1151,2)</f>
        <v>0</v>
      </c>
      <c r="E490" s="360">
        <f>+ROUND('Alim CE Costi'!H1151,2)</f>
        <v>525113.68999999994</v>
      </c>
      <c r="F490" s="303"/>
      <c r="G490" s="200"/>
      <c r="H490" s="91"/>
    </row>
    <row r="491" spans="1:24" ht="18.75">
      <c r="A491" s="191"/>
      <c r="B491" s="119" t="s">
        <v>1709</v>
      </c>
      <c r="C491" s="120" t="s">
        <v>1710</v>
      </c>
      <c r="D491" s="363">
        <f>+D463+D446+D436+D428+D386+D376+D368+D199+D160+D443</f>
        <v>572143900.77999997</v>
      </c>
      <c r="E491" s="363">
        <f>+E463+E446+E436+E428+E386+E376+E368+E199+E160+E443</f>
        <v>509088911.49000001</v>
      </c>
      <c r="F491" s="59"/>
      <c r="G491" s="200"/>
      <c r="H491" s="91"/>
    </row>
    <row r="492" spans="1:24" ht="18.75">
      <c r="A492" s="191"/>
      <c r="B492" s="127"/>
      <c r="C492" s="128" t="s">
        <v>1711</v>
      </c>
      <c r="D492" s="364"/>
      <c r="E492" s="364"/>
      <c r="F492" s="59"/>
      <c r="G492" s="200"/>
      <c r="H492" s="91"/>
    </row>
    <row r="493" spans="1:24" ht="18.75">
      <c r="A493" s="191"/>
      <c r="B493" s="117" t="s">
        <v>397</v>
      </c>
      <c r="C493" s="118" t="s">
        <v>1712</v>
      </c>
      <c r="D493" s="357">
        <f t="shared" ref="D493" si="198">+D494+D495+D496</f>
        <v>0.7</v>
      </c>
      <c r="E493" s="357">
        <f t="shared" ref="E493" si="199">+E494+E495+E496</f>
        <v>0</v>
      </c>
      <c r="F493" s="59" t="s">
        <v>1835</v>
      </c>
      <c r="G493" s="200"/>
      <c r="H493" s="91"/>
    </row>
    <row r="494" spans="1:24" ht="18.75">
      <c r="A494" s="191"/>
      <c r="B494" s="92" t="s">
        <v>399</v>
      </c>
      <c r="C494" s="93" t="s">
        <v>1713</v>
      </c>
      <c r="D494" s="360">
        <f>+ROUND('Alim CE Ricavi'!E320,2)</f>
        <v>0.7</v>
      </c>
      <c r="E494" s="360">
        <f>+ROUND('Alim CE Ricavi'!H320,2)</f>
        <v>0</v>
      </c>
      <c r="F494" s="59"/>
      <c r="G494" s="200"/>
      <c r="H494" s="91"/>
    </row>
    <row r="495" spans="1:24" ht="18.75">
      <c r="A495" s="191"/>
      <c r="B495" s="92" t="s">
        <v>400</v>
      </c>
      <c r="C495" s="93" t="s">
        <v>1714</v>
      </c>
      <c r="D495" s="360">
        <f>+ROUND('Alim CE Ricavi'!E322+'Alim CE Ricavi'!E323,2)</f>
        <v>0</v>
      </c>
      <c r="E495" s="360">
        <f>+ROUND('Alim CE Ricavi'!H322+'Alim CE Ricavi'!H323,2)</f>
        <v>0</v>
      </c>
      <c r="F495" s="59"/>
      <c r="G495" s="200"/>
      <c r="H495" s="91"/>
    </row>
    <row r="496" spans="1:24" ht="18.75">
      <c r="A496" s="191"/>
      <c r="B496" s="92" t="s">
        <v>404</v>
      </c>
      <c r="C496" s="93" t="s">
        <v>1715</v>
      </c>
      <c r="D496" s="360">
        <f>+ROUND('Alim CE Ricavi'!E325+'Alim CE Ricavi'!E327+'Alim CE Ricavi'!E326,2)</f>
        <v>0</v>
      </c>
      <c r="E496" s="360">
        <f>+ROUND('Alim CE Ricavi'!H325+'Alim CE Ricavi'!H327+'Alim CE Ricavi'!H326,2)</f>
        <v>0</v>
      </c>
      <c r="F496" s="59"/>
      <c r="G496" s="200"/>
      <c r="H496" s="91"/>
    </row>
    <row r="497" spans="1:8" ht="18.75">
      <c r="A497" s="191"/>
      <c r="B497" s="117" t="s">
        <v>406</v>
      </c>
      <c r="C497" s="118" t="s">
        <v>1716</v>
      </c>
      <c r="D497" s="357">
        <f t="shared" ref="D497" si="200">SUM(D498:D502)</f>
        <v>0</v>
      </c>
      <c r="E497" s="357">
        <f t="shared" ref="E497" si="201">SUM(E498:E502)</f>
        <v>0</v>
      </c>
      <c r="F497" s="59" t="s">
        <v>1835</v>
      </c>
      <c r="G497" s="200"/>
      <c r="H497" s="91"/>
    </row>
    <row r="498" spans="1:8" ht="18.75">
      <c r="A498" s="191"/>
      <c r="B498" s="92" t="s">
        <v>408</v>
      </c>
      <c r="C498" s="93" t="s">
        <v>1717</v>
      </c>
      <c r="D498" s="360">
        <f>+ROUND('Alim CE Ricavi'!E330,2)</f>
        <v>0</v>
      </c>
      <c r="E498" s="360">
        <f>+ROUND('Alim CE Ricavi'!H330,2)</f>
        <v>0</v>
      </c>
      <c r="F498" s="59"/>
      <c r="G498" s="200"/>
      <c r="H498" s="91"/>
    </row>
    <row r="499" spans="1:8" ht="25.5">
      <c r="A499" s="191"/>
      <c r="B499" s="92" t="s">
        <v>410</v>
      </c>
      <c r="C499" s="93" t="s">
        <v>1718</v>
      </c>
      <c r="D499" s="360">
        <f>+ROUND('Alim CE Ricavi'!E332,2)</f>
        <v>0</v>
      </c>
      <c r="E499" s="360">
        <f>+ROUND('Alim CE Ricavi'!H332,2)</f>
        <v>0</v>
      </c>
      <c r="F499" s="59"/>
      <c r="G499" s="200"/>
      <c r="H499" s="91"/>
    </row>
    <row r="500" spans="1:8" ht="25.5">
      <c r="A500" s="191"/>
      <c r="B500" s="92" t="s">
        <v>412</v>
      </c>
      <c r="C500" s="93" t="s">
        <v>1719</v>
      </c>
      <c r="D500" s="360">
        <f>+ROUND('Alim CE Ricavi'!E334,2)</f>
        <v>0</v>
      </c>
      <c r="E500" s="360">
        <f>+ROUND('Alim CE Ricavi'!H334,2)</f>
        <v>0</v>
      </c>
      <c r="F500" s="59"/>
      <c r="G500" s="200"/>
      <c r="H500" s="91"/>
    </row>
    <row r="501" spans="1:8" ht="18.75">
      <c r="A501" s="191"/>
      <c r="B501" s="92" t="s">
        <v>414</v>
      </c>
      <c r="C501" s="93" t="s">
        <v>1720</v>
      </c>
      <c r="D501" s="360">
        <f>+ROUND('Alim CE Ricavi'!E336,2)</f>
        <v>0</v>
      </c>
      <c r="E501" s="360">
        <f>+ROUND('Alim CE Ricavi'!H336,2)</f>
        <v>0</v>
      </c>
      <c r="F501" s="59"/>
      <c r="G501" s="200"/>
      <c r="H501" s="91"/>
    </row>
    <row r="502" spans="1:8" ht="18.75">
      <c r="A502" s="191"/>
      <c r="B502" s="92" t="s">
        <v>416</v>
      </c>
      <c r="C502" s="93" t="s">
        <v>1721</v>
      </c>
      <c r="D502" s="360">
        <f>+ROUND('Alim CE Ricavi'!E338,2)</f>
        <v>0</v>
      </c>
      <c r="E502" s="360">
        <f>+ROUND('Alim CE Ricavi'!H338,2)</f>
        <v>0</v>
      </c>
      <c r="F502" s="59"/>
      <c r="G502" s="200"/>
      <c r="H502" s="91"/>
    </row>
    <row r="503" spans="1:8" ht="18.75">
      <c r="A503" s="191"/>
      <c r="B503" s="117" t="s">
        <v>1133</v>
      </c>
      <c r="C503" s="118" t="s">
        <v>1722</v>
      </c>
      <c r="D503" s="357">
        <f t="shared" ref="D503" si="202">SUM(D504:D506)</f>
        <v>0</v>
      </c>
      <c r="E503" s="357">
        <f t="shared" ref="E503" si="203">SUM(E504:E506)</f>
        <v>0</v>
      </c>
      <c r="F503" s="59" t="s">
        <v>1835</v>
      </c>
      <c r="G503" s="200"/>
      <c r="H503" s="91"/>
    </row>
    <row r="504" spans="1:8" ht="18.75">
      <c r="A504" s="191"/>
      <c r="B504" s="92" t="s">
        <v>1135</v>
      </c>
      <c r="C504" s="93" t="s">
        <v>1723</v>
      </c>
      <c r="D504" s="360">
        <f>+ROUND('Alim CE Costi'!E1155,2)</f>
        <v>0</v>
      </c>
      <c r="E504" s="360">
        <f>+ROUND('Alim CE Costi'!H1155,2)</f>
        <v>0</v>
      </c>
      <c r="F504" s="59"/>
      <c r="G504" s="200"/>
      <c r="H504" s="91"/>
    </row>
    <row r="505" spans="1:8" ht="18.75">
      <c r="A505" s="191"/>
      <c r="B505" s="92" t="s">
        <v>1137</v>
      </c>
      <c r="C505" s="93" t="s">
        <v>1724</v>
      </c>
      <c r="D505" s="360">
        <f>+ROUND('Alim CE Costi'!E1157,2)</f>
        <v>0</v>
      </c>
      <c r="E505" s="360">
        <f>+ROUND('Alim CE Costi'!H1157,2)</f>
        <v>0</v>
      </c>
      <c r="F505" s="59"/>
      <c r="G505" s="200"/>
      <c r="H505" s="91"/>
    </row>
    <row r="506" spans="1:8" ht="18.75">
      <c r="A506" s="191"/>
      <c r="B506" s="92" t="s">
        <v>1139</v>
      </c>
      <c r="C506" s="93" t="s">
        <v>1725</v>
      </c>
      <c r="D506" s="360">
        <f>+ROUND('Alim CE Costi'!E1159+'Alim CE Costi'!E1160,2)</f>
        <v>0</v>
      </c>
      <c r="E506" s="360">
        <f>+ROUND('Alim CE Costi'!H1159+'Alim CE Costi'!H1160,2)</f>
        <v>0</v>
      </c>
      <c r="F506" s="59"/>
      <c r="G506" s="200"/>
      <c r="H506" s="91"/>
    </row>
    <row r="507" spans="1:8" ht="18.75">
      <c r="A507" s="191"/>
      <c r="B507" s="117" t="s">
        <v>1726</v>
      </c>
      <c r="C507" s="118" t="s">
        <v>1727</v>
      </c>
      <c r="D507" s="357">
        <f t="shared" ref="D507" si="204">SUM(D508:D509)</f>
        <v>0</v>
      </c>
      <c r="E507" s="357">
        <f t="shared" ref="E507" si="205">SUM(E508:E509)</f>
        <v>0</v>
      </c>
      <c r="F507" s="59" t="s">
        <v>1835</v>
      </c>
      <c r="G507" s="200"/>
      <c r="H507" s="91"/>
    </row>
    <row r="508" spans="1:8" ht="18.75">
      <c r="A508" s="191"/>
      <c r="B508" s="92" t="s">
        <v>1141</v>
      </c>
      <c r="C508" s="93" t="s">
        <v>1728</v>
      </c>
      <c r="D508" s="360">
        <f>+ROUND('Alim CE Costi'!E1163,2)</f>
        <v>0</v>
      </c>
      <c r="E508" s="360">
        <f>+ROUND('Alim CE Costi'!H1163,2)</f>
        <v>0</v>
      </c>
      <c r="F508" s="59"/>
      <c r="G508" s="200"/>
      <c r="H508" s="91"/>
    </row>
    <row r="509" spans="1:8" ht="18.75">
      <c r="A509" s="191"/>
      <c r="B509" s="92" t="s">
        <v>1143</v>
      </c>
      <c r="C509" s="93" t="s">
        <v>1729</v>
      </c>
      <c r="D509" s="360">
        <f>+ROUND('Alim CE Costi'!E1165,2)</f>
        <v>0</v>
      </c>
      <c r="E509" s="360">
        <f>+ROUND('Alim CE Costi'!H1165,2)</f>
        <v>0</v>
      </c>
      <c r="F509" s="59"/>
      <c r="G509" s="200"/>
      <c r="H509" s="91"/>
    </row>
    <row r="510" spans="1:8" ht="18.75">
      <c r="A510" s="191"/>
      <c r="B510" s="119" t="s">
        <v>1730</v>
      </c>
      <c r="C510" s="120" t="s">
        <v>1731</v>
      </c>
      <c r="D510" s="363">
        <f t="shared" ref="D510" si="206">+D493+D497-D503-D507</f>
        <v>0.7</v>
      </c>
      <c r="E510" s="363">
        <f t="shared" ref="E510" si="207">+E493+E497-E503-E507</f>
        <v>0</v>
      </c>
      <c r="F510" s="59" t="s">
        <v>1835</v>
      </c>
      <c r="G510" s="200"/>
      <c r="H510" s="91"/>
    </row>
    <row r="511" spans="1:8" ht="18.75">
      <c r="A511" s="191"/>
      <c r="B511" s="127"/>
      <c r="C511" s="128" t="s">
        <v>1732</v>
      </c>
      <c r="D511" s="364"/>
      <c r="E511" s="364"/>
      <c r="F511" s="59"/>
      <c r="G511" s="200"/>
      <c r="H511" s="91"/>
    </row>
    <row r="512" spans="1:8" ht="18.75">
      <c r="A512" s="191"/>
      <c r="B512" s="89" t="s">
        <v>418</v>
      </c>
      <c r="C512" s="90" t="s">
        <v>1733</v>
      </c>
      <c r="D512" s="360">
        <f>+ROUND('Alim CE Ricavi'!E341,2)</f>
        <v>0</v>
      </c>
      <c r="E512" s="360">
        <f>+ROUND('Alim CE Ricavi'!H341,2)</f>
        <v>0</v>
      </c>
      <c r="F512" s="59"/>
      <c r="G512" s="200"/>
      <c r="H512" s="91"/>
    </row>
    <row r="513" spans="1:8" ht="18.75">
      <c r="A513" s="191"/>
      <c r="B513" s="89" t="s">
        <v>1145</v>
      </c>
      <c r="C513" s="90" t="s">
        <v>1734</v>
      </c>
      <c r="D513" s="360">
        <f>+ROUND('Alim CE Costi'!E1168,2)</f>
        <v>0</v>
      </c>
      <c r="E513" s="360">
        <f>+ROUND('Alim CE Costi'!H1168,2)</f>
        <v>0</v>
      </c>
      <c r="F513" s="59"/>
      <c r="G513" s="200"/>
      <c r="H513" s="91"/>
    </row>
    <row r="514" spans="1:8" ht="18.75">
      <c r="A514" s="191"/>
      <c r="B514" s="119" t="s">
        <v>1735</v>
      </c>
      <c r="C514" s="120" t="s">
        <v>1736</v>
      </c>
      <c r="D514" s="363">
        <f t="shared" ref="D514" si="208">+D512-D513</f>
        <v>0</v>
      </c>
      <c r="E514" s="363">
        <f t="shared" ref="E514" si="209">+E512-E513</f>
        <v>0</v>
      </c>
      <c r="F514" s="59" t="s">
        <v>1835</v>
      </c>
      <c r="G514" s="200"/>
      <c r="H514" s="91"/>
    </row>
    <row r="515" spans="1:8" ht="18.75">
      <c r="A515" s="191"/>
      <c r="B515" s="127"/>
      <c r="C515" s="128" t="s">
        <v>1737</v>
      </c>
      <c r="D515" s="364"/>
      <c r="E515" s="364"/>
      <c r="F515" s="59"/>
      <c r="G515" s="200"/>
      <c r="H515" s="91"/>
    </row>
    <row r="516" spans="1:8" ht="18.75">
      <c r="A516" s="191"/>
      <c r="B516" s="117" t="s">
        <v>419</v>
      </c>
      <c r="C516" s="118" t="s">
        <v>1738</v>
      </c>
      <c r="D516" s="357">
        <f t="shared" ref="D516" si="210">+D517+D518</f>
        <v>1280690.4699999997</v>
      </c>
      <c r="E516" s="357">
        <f t="shared" ref="E516" si="211">+E517+E518</f>
        <v>5135791.99</v>
      </c>
      <c r="F516" s="59" t="s">
        <v>1835</v>
      </c>
      <c r="G516" s="200"/>
      <c r="H516" s="91"/>
    </row>
    <row r="517" spans="1:8" ht="18.75">
      <c r="A517" s="191"/>
      <c r="B517" s="92" t="s">
        <v>421</v>
      </c>
      <c r="C517" s="93" t="s">
        <v>1739</v>
      </c>
      <c r="D517" s="360">
        <f>+ROUND('Alim CE Ricavi'!E345,2)</f>
        <v>0</v>
      </c>
      <c r="E517" s="360">
        <f>+ROUND('Alim CE Ricavi'!H345,2)</f>
        <v>0</v>
      </c>
      <c r="F517" s="59"/>
      <c r="G517" s="200"/>
      <c r="H517" s="91"/>
    </row>
    <row r="518" spans="1:8" ht="18.75">
      <c r="A518" s="191"/>
      <c r="B518" s="112" t="s">
        <v>423</v>
      </c>
      <c r="C518" s="113" t="s">
        <v>1740</v>
      </c>
      <c r="D518" s="358">
        <f t="shared" ref="D518" si="212">+D519+D520+D531+D541</f>
        <v>1280690.4699999997</v>
      </c>
      <c r="E518" s="358">
        <f t="shared" ref="E518" si="213">+E519+E520+E531+E541</f>
        <v>5135791.99</v>
      </c>
      <c r="F518" s="59" t="s">
        <v>1835</v>
      </c>
      <c r="G518" s="200"/>
      <c r="H518" s="91"/>
    </row>
    <row r="519" spans="1:8" ht="18.75">
      <c r="A519" s="191"/>
      <c r="B519" s="94" t="s">
        <v>425</v>
      </c>
      <c r="C519" s="95" t="s">
        <v>1741</v>
      </c>
      <c r="D519" s="360">
        <f>+ROUND('Alim CE Ricavi'!E348,2)</f>
        <v>0</v>
      </c>
      <c r="E519" s="360">
        <f>+ROUND('Alim CE Ricavi'!H348,2)</f>
        <v>0</v>
      </c>
      <c r="F519" s="59"/>
      <c r="G519" s="200"/>
      <c r="H519" s="91"/>
    </row>
    <row r="520" spans="1:8" ht="18.75">
      <c r="A520" s="191"/>
      <c r="B520" s="121" t="s">
        <v>426</v>
      </c>
      <c r="C520" s="122" t="s">
        <v>1742</v>
      </c>
      <c r="D520" s="359">
        <f t="shared" ref="D520" si="214">+D521+D522+D523</f>
        <v>1268149.8599999999</v>
      </c>
      <c r="E520" s="359">
        <f t="shared" ref="E520" si="215">+E521+E522+E523</f>
        <v>5113197.5600000005</v>
      </c>
      <c r="F520" s="59" t="s">
        <v>1835</v>
      </c>
      <c r="G520" s="200"/>
      <c r="H520" s="91"/>
    </row>
    <row r="521" spans="1:8" ht="18.75">
      <c r="A521" s="193"/>
      <c r="B521" s="94" t="s">
        <v>428</v>
      </c>
      <c r="C521" s="95" t="s">
        <v>1743</v>
      </c>
      <c r="D521" s="360">
        <f>+ROUND('Alim CE Ricavi'!E351,2)</f>
        <v>103464.5</v>
      </c>
      <c r="E521" s="360">
        <f>+ROUND('Alim CE Ricavi'!H351,2)</f>
        <v>2411121</v>
      </c>
      <c r="F521" s="303"/>
      <c r="G521" s="200"/>
      <c r="H521" s="91"/>
    </row>
    <row r="522" spans="1:8" ht="25.5">
      <c r="A522" s="193" t="s">
        <v>1248</v>
      </c>
      <c r="B522" s="94" t="s">
        <v>430</v>
      </c>
      <c r="C522" s="95" t="s">
        <v>1744</v>
      </c>
      <c r="D522" s="360">
        <f>+ROUND('Alim CE Ricavi'!E353,2)</f>
        <v>0</v>
      </c>
      <c r="E522" s="360">
        <f>+ROUND('Alim CE Ricavi'!H353,2)</f>
        <v>60049.45</v>
      </c>
      <c r="F522" s="303"/>
      <c r="G522" s="200"/>
      <c r="H522" s="91"/>
    </row>
    <row r="523" spans="1:8" ht="18.75">
      <c r="A523" s="193"/>
      <c r="B523" s="125" t="s">
        <v>431</v>
      </c>
      <c r="C523" s="126" t="s">
        <v>1745</v>
      </c>
      <c r="D523" s="361">
        <f t="shared" ref="D523" si="216">SUM(D524:D530)</f>
        <v>1164685.3599999999</v>
      </c>
      <c r="E523" s="361">
        <f t="shared" ref="E523" si="217">SUM(E524:E530)</f>
        <v>2642027.11</v>
      </c>
      <c r="F523" s="59" t="s">
        <v>1835</v>
      </c>
      <c r="G523" s="200"/>
      <c r="H523" s="91"/>
    </row>
    <row r="524" spans="1:8" ht="25.5">
      <c r="A524" s="193" t="s">
        <v>1293</v>
      </c>
      <c r="B524" s="96" t="s">
        <v>433</v>
      </c>
      <c r="C524" s="97" t="s">
        <v>1746</v>
      </c>
      <c r="D524" s="360">
        <f>+ROUND('Alim CE Ricavi'!E356,2)</f>
        <v>0</v>
      </c>
      <c r="E524" s="360">
        <f>+ROUND('Alim CE Ricavi'!H356,2)</f>
        <v>0</v>
      </c>
      <c r="F524" s="303"/>
      <c r="G524" s="200"/>
      <c r="H524" s="91"/>
    </row>
    <row r="525" spans="1:8" ht="25.5">
      <c r="A525" s="193"/>
      <c r="B525" s="96" t="s">
        <v>435</v>
      </c>
      <c r="C525" s="97" t="s">
        <v>1747</v>
      </c>
      <c r="D525" s="360">
        <f>+ROUND('Alim CE Ricavi'!E358,2)</f>
        <v>13699.49</v>
      </c>
      <c r="E525" s="360">
        <f>+ROUND('Alim CE Ricavi'!H358,2)</f>
        <v>3093.92</v>
      </c>
      <c r="F525" s="303"/>
      <c r="G525" s="200"/>
      <c r="H525" s="91"/>
    </row>
    <row r="526" spans="1:8" ht="25.5">
      <c r="A526" s="193"/>
      <c r="B526" s="96" t="s">
        <v>437</v>
      </c>
      <c r="C526" s="97" t="s">
        <v>1748</v>
      </c>
      <c r="D526" s="360">
        <f>+ROUND('Alim CE Ricavi'!E360,2)</f>
        <v>0</v>
      </c>
      <c r="E526" s="360">
        <f>+ROUND('Alim CE Ricavi'!H360,2)</f>
        <v>0</v>
      </c>
      <c r="F526" s="303"/>
      <c r="G526" s="200"/>
      <c r="H526" s="91"/>
    </row>
    <row r="527" spans="1:8" ht="25.5">
      <c r="A527" s="193"/>
      <c r="B527" s="96" t="s">
        <v>439</v>
      </c>
      <c r="C527" s="97" t="s">
        <v>1749</v>
      </c>
      <c r="D527" s="360">
        <f>+ROUND('Alim CE Ricavi'!E362,2)</f>
        <v>0</v>
      </c>
      <c r="E527" s="360">
        <f>+ROUND('Alim CE Ricavi'!H362,2)</f>
        <v>0</v>
      </c>
      <c r="F527" s="303"/>
      <c r="G527" s="200"/>
      <c r="H527" s="91"/>
    </row>
    <row r="528" spans="1:8" ht="25.5">
      <c r="A528" s="193"/>
      <c r="B528" s="96" t="s">
        <v>441</v>
      </c>
      <c r="C528" s="97" t="s">
        <v>1750</v>
      </c>
      <c r="D528" s="360">
        <f>+ROUND('Alim CE Ricavi'!E364,2)</f>
        <v>0</v>
      </c>
      <c r="E528" s="360">
        <f>+ROUND('Alim CE Ricavi'!H364,2)</f>
        <v>0</v>
      </c>
      <c r="F528" s="303"/>
      <c r="G528" s="200"/>
      <c r="H528" s="91"/>
    </row>
    <row r="529" spans="1:8" ht="25.5">
      <c r="A529" s="193"/>
      <c r="B529" s="96" t="s">
        <v>443</v>
      </c>
      <c r="C529" s="97" t="s">
        <v>1751</v>
      </c>
      <c r="D529" s="360">
        <f>+ROUND('Alim CE Ricavi'!E366,2)</f>
        <v>3.41</v>
      </c>
      <c r="E529" s="360">
        <f>+ROUND('Alim CE Ricavi'!H366,2)</f>
        <v>321.62</v>
      </c>
      <c r="F529" s="303"/>
      <c r="G529" s="200"/>
      <c r="H529" s="91"/>
    </row>
    <row r="530" spans="1:8" ht="18.75">
      <c r="A530" s="193"/>
      <c r="B530" s="96" t="s">
        <v>445</v>
      </c>
      <c r="C530" s="97" t="s">
        <v>1752</v>
      </c>
      <c r="D530" s="360">
        <f>+ROUND('Alim CE Ricavi'!E368,2)</f>
        <v>1150982.46</v>
      </c>
      <c r="E530" s="360">
        <f>+ROUND('Alim CE Ricavi'!H368,2)</f>
        <v>2638611.5699999998</v>
      </c>
      <c r="F530" s="303"/>
      <c r="G530" s="200"/>
      <c r="H530" s="91"/>
    </row>
    <row r="531" spans="1:8" ht="18.75">
      <c r="A531" s="193"/>
      <c r="B531" s="121" t="s">
        <v>1753</v>
      </c>
      <c r="C531" s="122" t="s">
        <v>1754</v>
      </c>
      <c r="D531" s="359">
        <f t="shared" ref="D531" si="218">+D532+D533</f>
        <v>12523.88</v>
      </c>
      <c r="E531" s="359">
        <f t="shared" ref="E531" si="219">+E532+E533</f>
        <v>22179.18</v>
      </c>
      <c r="F531" s="59" t="s">
        <v>1835</v>
      </c>
      <c r="G531" s="200"/>
      <c r="H531" s="91"/>
    </row>
    <row r="532" spans="1:8" ht="25.5">
      <c r="A532" s="191" t="s">
        <v>1248</v>
      </c>
      <c r="B532" s="94" t="s">
        <v>447</v>
      </c>
      <c r="C532" s="95" t="s">
        <v>1755</v>
      </c>
      <c r="D532" s="360">
        <f>+ROUND('Alim CE Ricavi'!E371,2)</f>
        <v>168</v>
      </c>
      <c r="E532" s="360">
        <f>+ROUND('Alim CE Ricavi'!H371,2)</f>
        <v>0</v>
      </c>
      <c r="F532" s="59"/>
      <c r="G532" s="200"/>
      <c r="H532" s="91"/>
    </row>
    <row r="533" spans="1:8" ht="18.75">
      <c r="A533" s="191"/>
      <c r="B533" s="125" t="s">
        <v>1756</v>
      </c>
      <c r="C533" s="126" t="s">
        <v>1757</v>
      </c>
      <c r="D533" s="361">
        <f t="shared" ref="D533" si="220">SUM(D534:D540)</f>
        <v>12355.88</v>
      </c>
      <c r="E533" s="361">
        <f t="shared" ref="E533" si="221">SUM(E534:E540)</f>
        <v>22179.18</v>
      </c>
      <c r="F533" s="59" t="s">
        <v>1835</v>
      </c>
      <c r="G533" s="200"/>
      <c r="H533" s="91"/>
    </row>
    <row r="534" spans="1:8" ht="25.5">
      <c r="A534" s="191" t="s">
        <v>1293</v>
      </c>
      <c r="B534" s="96" t="s">
        <v>449</v>
      </c>
      <c r="C534" s="97" t="s">
        <v>1758</v>
      </c>
      <c r="D534" s="360">
        <f>+ROUND('Alim CE Ricavi'!E374,2)</f>
        <v>0</v>
      </c>
      <c r="E534" s="360">
        <f>+ROUND('Alim CE Ricavi'!H374,2)</f>
        <v>0</v>
      </c>
      <c r="F534" s="59"/>
      <c r="G534" s="200"/>
      <c r="H534" s="91"/>
    </row>
    <row r="535" spans="1:8" ht="18.75">
      <c r="A535" s="191"/>
      <c r="B535" s="96" t="s">
        <v>451</v>
      </c>
      <c r="C535" s="97" t="s">
        <v>1759</v>
      </c>
      <c r="D535" s="360">
        <f>+ROUND('Alim CE Ricavi'!E376,2)</f>
        <v>0</v>
      </c>
      <c r="E535" s="360">
        <f>+ROUND('Alim CE Ricavi'!H376,2)</f>
        <v>0</v>
      </c>
      <c r="F535" s="59"/>
      <c r="G535" s="200"/>
      <c r="H535" s="91"/>
    </row>
    <row r="536" spans="1:8" ht="25.5">
      <c r="A536" s="191"/>
      <c r="B536" s="96" t="s">
        <v>453</v>
      </c>
      <c r="C536" s="97" t="s">
        <v>1760</v>
      </c>
      <c r="D536" s="360">
        <f>+ROUND('Alim CE Ricavi'!E378,2)</f>
        <v>0</v>
      </c>
      <c r="E536" s="360">
        <f>+ROUND('Alim CE Ricavi'!H378,2)</f>
        <v>0</v>
      </c>
      <c r="F536" s="59"/>
      <c r="G536" s="200"/>
      <c r="H536" s="91"/>
    </row>
    <row r="537" spans="1:8" ht="25.5">
      <c r="A537" s="191"/>
      <c r="B537" s="96" t="s">
        <v>455</v>
      </c>
      <c r="C537" s="97" t="s">
        <v>1761</v>
      </c>
      <c r="D537" s="360">
        <f>+ROUND('Alim CE Ricavi'!E380,2)</f>
        <v>0</v>
      </c>
      <c r="E537" s="360">
        <f>+ROUND('Alim CE Ricavi'!H380,2)</f>
        <v>0</v>
      </c>
      <c r="F537" s="59"/>
      <c r="G537" s="200"/>
      <c r="H537" s="91"/>
    </row>
    <row r="538" spans="1:8" ht="25.5">
      <c r="A538" s="191"/>
      <c r="B538" s="96" t="s">
        <v>457</v>
      </c>
      <c r="C538" s="97" t="s">
        <v>1762</v>
      </c>
      <c r="D538" s="360">
        <f>+ROUND('Alim CE Ricavi'!E382,2)</f>
        <v>0</v>
      </c>
      <c r="E538" s="360">
        <f>+ROUND('Alim CE Ricavi'!H382,2)</f>
        <v>0</v>
      </c>
      <c r="F538" s="59"/>
      <c r="G538" s="200"/>
      <c r="H538" s="91"/>
    </row>
    <row r="539" spans="1:8" ht="25.5">
      <c r="A539" s="191"/>
      <c r="B539" s="96" t="s">
        <v>459</v>
      </c>
      <c r="C539" s="97" t="s">
        <v>1763</v>
      </c>
      <c r="D539" s="360">
        <f>+ROUND('Alim CE Ricavi'!E384,2)</f>
        <v>0</v>
      </c>
      <c r="E539" s="360">
        <f>+ROUND('Alim CE Ricavi'!H384,2)</f>
        <v>0</v>
      </c>
      <c r="F539" s="59"/>
      <c r="G539" s="200"/>
      <c r="H539" s="91"/>
    </row>
    <row r="540" spans="1:8" ht="18.75">
      <c r="A540" s="191"/>
      <c r="B540" s="96" t="s">
        <v>461</v>
      </c>
      <c r="C540" s="97" t="s">
        <v>1764</v>
      </c>
      <c r="D540" s="360">
        <f>+ROUND('Alim CE Ricavi'!E386,2)</f>
        <v>12355.88</v>
      </c>
      <c r="E540" s="360">
        <f>+ROUND('Alim CE Ricavi'!H386,2)</f>
        <v>22179.18</v>
      </c>
      <c r="F540" s="59"/>
      <c r="G540" s="200"/>
      <c r="H540" s="91"/>
    </row>
    <row r="541" spans="1:8" ht="18.75">
      <c r="A541" s="191"/>
      <c r="B541" s="94" t="s">
        <v>462</v>
      </c>
      <c r="C541" s="95" t="s">
        <v>1765</v>
      </c>
      <c r="D541" s="360">
        <f>+ROUND('Alim CE Ricavi'!E388,2)</f>
        <v>16.73</v>
      </c>
      <c r="E541" s="360">
        <f>+ROUND('Alim CE Ricavi'!H388,2)</f>
        <v>415.25</v>
      </c>
      <c r="F541" s="59"/>
      <c r="G541" s="200"/>
      <c r="H541" s="91"/>
    </row>
    <row r="542" spans="1:8" ht="18.75">
      <c r="A542" s="191"/>
      <c r="B542" s="117" t="s">
        <v>1146</v>
      </c>
      <c r="C542" s="118" t="s">
        <v>1766</v>
      </c>
      <c r="D542" s="357">
        <f t="shared" ref="D542" si="222">+D543+D544</f>
        <v>7311194.0099999998</v>
      </c>
      <c r="E542" s="357">
        <f t="shared" ref="E542" si="223">+E543+E544</f>
        <v>181511.41999999998</v>
      </c>
      <c r="F542" s="59"/>
      <c r="G542" s="200"/>
      <c r="H542" s="91"/>
    </row>
    <row r="543" spans="1:8" ht="18.75">
      <c r="A543" s="191"/>
      <c r="B543" s="92" t="s">
        <v>1148</v>
      </c>
      <c r="C543" s="93" t="s">
        <v>1767</v>
      </c>
      <c r="D543" s="360">
        <f>+ROUND('Alim CE Costi'!E1172,2)</f>
        <v>405.65</v>
      </c>
      <c r="E543" s="360">
        <f>+ROUND('Alim CE Costi'!H1172,2)</f>
        <v>0</v>
      </c>
      <c r="F543" s="59"/>
      <c r="G543" s="200"/>
      <c r="H543" s="91"/>
    </row>
    <row r="544" spans="1:8" ht="18.75">
      <c r="A544" s="191"/>
      <c r="B544" s="112" t="s">
        <v>1150</v>
      </c>
      <c r="C544" s="113" t="s">
        <v>1768</v>
      </c>
      <c r="D544" s="358">
        <f t="shared" ref="D544" si="224">+D545+D546+D547+D562+D573</f>
        <v>7310788.3599999994</v>
      </c>
      <c r="E544" s="358">
        <f t="shared" ref="E544" si="225">+E545+E546+E547+E562+E573</f>
        <v>181511.41999999998</v>
      </c>
      <c r="F544" s="59"/>
      <c r="G544" s="200"/>
      <c r="H544" s="91"/>
    </row>
    <row r="545" spans="1:8" ht="18.75">
      <c r="A545" s="191"/>
      <c r="B545" s="94" t="s">
        <v>1152</v>
      </c>
      <c r="C545" s="95" t="s">
        <v>1769</v>
      </c>
      <c r="D545" s="360">
        <f>+ROUND('Alim CE Costi'!E1175,2)</f>
        <v>0</v>
      </c>
      <c r="E545" s="360">
        <f>+ROUND('Alim CE Costi'!H1175,2)</f>
        <v>0</v>
      </c>
      <c r="F545" s="59"/>
      <c r="G545" s="200"/>
      <c r="H545" s="91"/>
    </row>
    <row r="546" spans="1:8" ht="18.75">
      <c r="A546" s="191"/>
      <c r="B546" s="94" t="s">
        <v>1154</v>
      </c>
      <c r="C546" s="95" t="s">
        <v>1770</v>
      </c>
      <c r="D546" s="360">
        <f>+ROUND('Alim CE Costi'!E1177,2)</f>
        <v>0</v>
      </c>
      <c r="E546" s="360">
        <f>+ROUND('Alim CE Costi'!H1177,2)</f>
        <v>0</v>
      </c>
      <c r="F546" s="59"/>
      <c r="G546" s="200"/>
      <c r="H546" s="91"/>
    </row>
    <row r="547" spans="1:8" ht="18.75">
      <c r="A547" s="191"/>
      <c r="B547" s="121" t="s">
        <v>1155</v>
      </c>
      <c r="C547" s="122" t="s">
        <v>1771</v>
      </c>
      <c r="D547" s="359">
        <f t="shared" ref="D547" si="226">+D548+D551</f>
        <v>7131224.96</v>
      </c>
      <c r="E547" s="359">
        <f t="shared" ref="E547" si="227">+E548+E551</f>
        <v>160363.38</v>
      </c>
      <c r="F547" s="59"/>
      <c r="G547" s="200"/>
      <c r="H547" s="91"/>
    </row>
    <row r="548" spans="1:8" ht="25.5">
      <c r="A548" s="191" t="s">
        <v>1248</v>
      </c>
      <c r="B548" s="125" t="s">
        <v>1156</v>
      </c>
      <c r="C548" s="126" t="s">
        <v>1772</v>
      </c>
      <c r="D548" s="361">
        <f t="shared" ref="D548" si="228">+D549+D550</f>
        <v>7001035.6100000003</v>
      </c>
      <c r="E548" s="361">
        <f t="shared" ref="E548" si="229">+E549+E550</f>
        <v>114209.15</v>
      </c>
      <c r="F548" s="59"/>
      <c r="G548" s="200"/>
      <c r="H548" s="91"/>
    </row>
    <row r="549" spans="1:8" ht="25.5">
      <c r="A549" s="191" t="s">
        <v>1248</v>
      </c>
      <c r="B549" s="96" t="s">
        <v>1158</v>
      </c>
      <c r="C549" s="97" t="s">
        <v>1773</v>
      </c>
      <c r="D549" s="360">
        <f>+ROUND('Alim CE Costi'!E1181,2)</f>
        <v>0</v>
      </c>
      <c r="E549" s="360">
        <f>+ROUND('Alim CE Costi'!H1181,2)</f>
        <v>0</v>
      </c>
      <c r="F549" s="59"/>
      <c r="G549" s="200"/>
      <c r="H549" s="91"/>
    </row>
    <row r="550" spans="1:8" ht="25.5">
      <c r="A550" s="191" t="s">
        <v>1248</v>
      </c>
      <c r="B550" s="96" t="s">
        <v>1160</v>
      </c>
      <c r="C550" s="97" t="s">
        <v>1774</v>
      </c>
      <c r="D550" s="360">
        <f>+ROUND('Alim CE Costi'!E1183,2)</f>
        <v>7001035.6100000003</v>
      </c>
      <c r="E550" s="360">
        <f>+ROUND('Alim CE Costi'!H1183,2)</f>
        <v>114209.15</v>
      </c>
      <c r="F550" s="59"/>
      <c r="G550" s="200"/>
      <c r="H550" s="91"/>
    </row>
    <row r="551" spans="1:8" ht="18.75">
      <c r="A551" s="191"/>
      <c r="B551" s="125" t="s">
        <v>1161</v>
      </c>
      <c r="C551" s="126" t="s">
        <v>1775</v>
      </c>
      <c r="D551" s="361">
        <f t="shared" ref="D551" si="230">+D552+D553+D557+D558+D559+D560+D561</f>
        <v>130189.34999999999</v>
      </c>
      <c r="E551" s="361">
        <f t="shared" ref="E551" si="231">+E552+E553+E557+E558+E559+E560+E561</f>
        <v>46154.229999999996</v>
      </c>
      <c r="F551" s="59"/>
      <c r="G551" s="200"/>
      <c r="H551" s="91"/>
    </row>
    <row r="552" spans="1:8" ht="25.5">
      <c r="A552" s="191" t="s">
        <v>1293</v>
      </c>
      <c r="B552" s="96" t="s">
        <v>1163</v>
      </c>
      <c r="C552" s="97" t="s">
        <v>1776</v>
      </c>
      <c r="D552" s="360">
        <f>+ROUND('Alim CE Costi'!E1186,2)</f>
        <v>0</v>
      </c>
      <c r="E552" s="360">
        <f>+ROUND('Alim CE Costi'!H1186,2)</f>
        <v>0</v>
      </c>
      <c r="F552" s="59"/>
      <c r="G552" s="200"/>
      <c r="H552" s="91"/>
    </row>
    <row r="553" spans="1:8" ht="25.5">
      <c r="A553" s="191"/>
      <c r="B553" s="136" t="s">
        <v>1164</v>
      </c>
      <c r="C553" s="137" t="s">
        <v>1777</v>
      </c>
      <c r="D553" s="368">
        <f t="shared" ref="D553" si="232">+D554+D555+D556</f>
        <v>47157.88</v>
      </c>
      <c r="E553" s="368">
        <f t="shared" ref="E553" si="233">+E554+E555+E556</f>
        <v>0</v>
      </c>
      <c r="F553" s="59"/>
      <c r="G553" s="200"/>
      <c r="H553" s="91"/>
    </row>
    <row r="554" spans="1:8" ht="25.5">
      <c r="A554" s="191"/>
      <c r="B554" s="94" t="s">
        <v>1166</v>
      </c>
      <c r="C554" s="95" t="s">
        <v>1778</v>
      </c>
      <c r="D554" s="360">
        <f>+ROUND('Alim CE Costi'!E1189,2)</f>
        <v>0</v>
      </c>
      <c r="E554" s="360">
        <f>+ROUND('Alim CE Costi'!H1189,2)</f>
        <v>0</v>
      </c>
      <c r="F554" s="59"/>
      <c r="G554" s="200"/>
      <c r="H554" s="91"/>
    </row>
    <row r="555" spans="1:8" ht="25.5">
      <c r="A555" s="191"/>
      <c r="B555" s="94" t="s">
        <v>1168</v>
      </c>
      <c r="C555" s="95" t="s">
        <v>1779</v>
      </c>
      <c r="D555" s="360">
        <f>+ROUND('Alim CE Costi'!E1191,2)</f>
        <v>0</v>
      </c>
      <c r="E555" s="360">
        <f>+ROUND('Alim CE Costi'!H1191,2)</f>
        <v>0</v>
      </c>
      <c r="F555" s="59"/>
      <c r="G555" s="200"/>
      <c r="H555" s="91"/>
    </row>
    <row r="556" spans="1:8" ht="25.5">
      <c r="A556" s="191"/>
      <c r="B556" s="94" t="s">
        <v>1170</v>
      </c>
      <c r="C556" s="95" t="s">
        <v>1780</v>
      </c>
      <c r="D556" s="360">
        <f>+ROUND('Alim CE Costi'!E1193,2)</f>
        <v>47157.88</v>
      </c>
      <c r="E556" s="360">
        <f>+ROUND('Alim CE Costi'!H1193,2)</f>
        <v>0</v>
      </c>
      <c r="F556" s="59"/>
      <c r="G556" s="200"/>
      <c r="H556" s="91"/>
    </row>
    <row r="557" spans="1:8" ht="25.5">
      <c r="A557" s="191"/>
      <c r="B557" s="96" t="s">
        <v>1172</v>
      </c>
      <c r="C557" s="97" t="s">
        <v>1781</v>
      </c>
      <c r="D557" s="360">
        <f>+ROUND('Alim CE Costi'!E1195,2)</f>
        <v>0</v>
      </c>
      <c r="E557" s="360">
        <f>+ROUND('Alim CE Costi'!H1195,2)</f>
        <v>0</v>
      </c>
      <c r="F557" s="59"/>
      <c r="G557" s="200"/>
      <c r="H557" s="91"/>
    </row>
    <row r="558" spans="1:8" ht="25.5">
      <c r="A558" s="191"/>
      <c r="B558" s="96" t="s">
        <v>1174</v>
      </c>
      <c r="C558" s="97" t="s">
        <v>1782</v>
      </c>
      <c r="D558" s="360">
        <f>+ROUND('Alim CE Costi'!E1197,2)</f>
        <v>0</v>
      </c>
      <c r="E558" s="360">
        <f>+ROUND('Alim CE Costi'!H1197,2)</f>
        <v>0</v>
      </c>
      <c r="F558" s="59"/>
      <c r="G558" s="200"/>
      <c r="H558" s="91"/>
    </row>
    <row r="559" spans="1:8" ht="25.5">
      <c r="A559" s="191"/>
      <c r="B559" s="96" t="s">
        <v>1176</v>
      </c>
      <c r="C559" s="97" t="s">
        <v>1783</v>
      </c>
      <c r="D559" s="360">
        <f>+ROUND('Alim CE Costi'!E1199,2)</f>
        <v>0</v>
      </c>
      <c r="E559" s="360">
        <f>+ROUND('Alim CE Costi'!H1199,2)</f>
        <v>0</v>
      </c>
      <c r="F559" s="59"/>
      <c r="G559" s="200"/>
      <c r="H559" s="91"/>
    </row>
    <row r="560" spans="1:8" ht="25.5">
      <c r="A560" s="191"/>
      <c r="B560" s="96" t="s">
        <v>1178</v>
      </c>
      <c r="C560" s="97" t="s">
        <v>1784</v>
      </c>
      <c r="D560" s="360">
        <f>+ROUND('Alim CE Costi'!E1201,2)</f>
        <v>3974.07</v>
      </c>
      <c r="E560" s="360">
        <f>+ROUND('Alim CE Costi'!H1201,2)</f>
        <v>2180.34</v>
      </c>
      <c r="F560" s="59"/>
      <c r="G560" s="200"/>
      <c r="H560" s="91"/>
    </row>
    <row r="561" spans="1:8" ht="18.75">
      <c r="A561" s="191"/>
      <c r="B561" s="96" t="s">
        <v>1180</v>
      </c>
      <c r="C561" s="97" t="s">
        <v>1785</v>
      </c>
      <c r="D561" s="360">
        <f>+ROUND('Alim CE Costi'!E1203,2)</f>
        <v>79057.399999999994</v>
      </c>
      <c r="E561" s="360">
        <f>+ROUND('Alim CE Costi'!H1203,2)</f>
        <v>43973.89</v>
      </c>
      <c r="F561" s="59"/>
      <c r="G561" s="200"/>
      <c r="H561" s="91"/>
    </row>
    <row r="562" spans="1:8" ht="18.75">
      <c r="A562" s="191"/>
      <c r="B562" s="121" t="s">
        <v>1181</v>
      </c>
      <c r="C562" s="122" t="s">
        <v>1786</v>
      </c>
      <c r="D562" s="359">
        <f t="shared" ref="D562" si="234">+D563+D564+D565</f>
        <v>179504.27</v>
      </c>
      <c r="E562" s="359">
        <f t="shared" ref="E562" si="235">+E563+E564+E565</f>
        <v>11786.15</v>
      </c>
      <c r="F562" s="59"/>
      <c r="G562" s="200"/>
      <c r="H562" s="91"/>
    </row>
    <row r="563" spans="1:8" ht="18.75">
      <c r="A563" s="193"/>
      <c r="B563" s="94" t="s">
        <v>1183</v>
      </c>
      <c r="C563" s="95" t="s">
        <v>1787</v>
      </c>
      <c r="D563" s="360">
        <f>+ROUND('Alim CE Costi'!E1206,2)</f>
        <v>0</v>
      </c>
      <c r="E563" s="360">
        <f>+ROUND('Alim CE Costi'!H1206,2)</f>
        <v>0</v>
      </c>
      <c r="F563" s="303"/>
      <c r="G563" s="200"/>
      <c r="H563" s="91"/>
    </row>
    <row r="564" spans="1:8" ht="25.5">
      <c r="A564" s="193" t="s">
        <v>1248</v>
      </c>
      <c r="B564" s="94" t="s">
        <v>1185</v>
      </c>
      <c r="C564" s="95" t="s">
        <v>1788</v>
      </c>
      <c r="D564" s="360">
        <f>+ROUND('Alim CE Costi'!E1208,2)</f>
        <v>0</v>
      </c>
      <c r="E564" s="360">
        <f>+ROUND('Alim CE Costi'!H1208,2)</f>
        <v>130.63999999999999</v>
      </c>
      <c r="F564" s="303"/>
      <c r="G564" s="200"/>
      <c r="H564" s="91"/>
    </row>
    <row r="565" spans="1:8" ht="18.75">
      <c r="A565" s="193"/>
      <c r="B565" s="125" t="s">
        <v>1186</v>
      </c>
      <c r="C565" s="126" t="s">
        <v>1789</v>
      </c>
      <c r="D565" s="361">
        <f t="shared" ref="D565" si="236">SUM(D566:D572)</f>
        <v>179504.27</v>
      </c>
      <c r="E565" s="361">
        <f t="shared" ref="E565" si="237">SUM(E566:E572)</f>
        <v>11655.51</v>
      </c>
      <c r="F565" s="59"/>
      <c r="G565" s="200"/>
      <c r="H565" s="91"/>
    </row>
    <row r="566" spans="1:8" ht="25.5">
      <c r="A566" s="193" t="s">
        <v>1293</v>
      </c>
      <c r="B566" s="96" t="s">
        <v>1188</v>
      </c>
      <c r="C566" s="97" t="s">
        <v>1790</v>
      </c>
      <c r="D566" s="360">
        <f>+ROUND('Alim CE Costi'!E1211,2)</f>
        <v>0</v>
      </c>
      <c r="E566" s="360">
        <f>+ROUND('Alim CE Costi'!H1211,2)</f>
        <v>0</v>
      </c>
      <c r="F566" s="303"/>
      <c r="G566" s="200"/>
      <c r="H566" s="91"/>
    </row>
    <row r="567" spans="1:8" ht="25.5">
      <c r="A567" s="193"/>
      <c r="B567" s="96" t="s">
        <v>1190</v>
      </c>
      <c r="C567" s="97" t="s">
        <v>1791</v>
      </c>
      <c r="D567" s="360">
        <f>+ROUND('Alim CE Costi'!E1213,2)</f>
        <v>0</v>
      </c>
      <c r="E567" s="360">
        <f>+ROUND('Alim CE Costi'!H1213,2)</f>
        <v>0</v>
      </c>
      <c r="F567" s="303"/>
      <c r="G567" s="200"/>
      <c r="H567" s="91"/>
    </row>
    <row r="568" spans="1:8" ht="25.5">
      <c r="A568" s="193"/>
      <c r="B568" s="96" t="s">
        <v>1192</v>
      </c>
      <c r="C568" s="97" t="s">
        <v>1792</v>
      </c>
      <c r="D568" s="360">
        <f>+ROUND('Alim CE Costi'!E1215,2)</f>
        <v>0</v>
      </c>
      <c r="E568" s="360">
        <f>+ROUND('Alim CE Costi'!H1215,2)</f>
        <v>0</v>
      </c>
      <c r="F568" s="303"/>
      <c r="G568" s="200"/>
      <c r="H568" s="91"/>
    </row>
    <row r="569" spans="1:8" ht="25.5">
      <c r="A569" s="193"/>
      <c r="B569" s="96" t="s">
        <v>1194</v>
      </c>
      <c r="C569" s="97" t="s">
        <v>1793</v>
      </c>
      <c r="D569" s="360">
        <f>+ROUND('Alim CE Costi'!E1217,2)</f>
        <v>0</v>
      </c>
      <c r="E569" s="360">
        <f>+ROUND('Alim CE Costi'!H1217,2)</f>
        <v>0</v>
      </c>
      <c r="F569" s="303"/>
      <c r="G569" s="200"/>
      <c r="H569" s="91"/>
    </row>
    <row r="570" spans="1:8" ht="25.5">
      <c r="A570" s="193"/>
      <c r="B570" s="96" t="s">
        <v>1196</v>
      </c>
      <c r="C570" s="97" t="s">
        <v>1794</v>
      </c>
      <c r="D570" s="360">
        <f>+ROUND('Alim CE Costi'!E1219,2)</f>
        <v>0</v>
      </c>
      <c r="E570" s="360">
        <f>+ROUND('Alim CE Costi'!H1219,2)</f>
        <v>0</v>
      </c>
      <c r="F570" s="303"/>
      <c r="G570" s="200"/>
      <c r="H570" s="91"/>
    </row>
    <row r="571" spans="1:8" ht="25.5">
      <c r="A571" s="193"/>
      <c r="B571" s="96" t="s">
        <v>1198</v>
      </c>
      <c r="C571" s="97" t="s">
        <v>1795</v>
      </c>
      <c r="D571" s="360">
        <f>+ROUND('Alim CE Costi'!E1221,2)</f>
        <v>683.68</v>
      </c>
      <c r="E571" s="360">
        <f>+ROUND('Alim CE Costi'!H1221,2)</f>
        <v>0</v>
      </c>
      <c r="F571" s="303"/>
      <c r="G571" s="200"/>
      <c r="H571" s="91"/>
    </row>
    <row r="572" spans="1:8" ht="18.75">
      <c r="A572" s="193"/>
      <c r="B572" s="96" t="s">
        <v>1200</v>
      </c>
      <c r="C572" s="97" t="s">
        <v>1796</v>
      </c>
      <c r="D572" s="360">
        <f>+ROUND('Alim CE Costi'!E1223,2)</f>
        <v>178820.59</v>
      </c>
      <c r="E572" s="360">
        <f>+ROUND('Alim CE Costi'!H1223,2)</f>
        <v>11655.51</v>
      </c>
      <c r="F572" s="303"/>
      <c r="G572" s="200"/>
      <c r="H572" s="91"/>
    </row>
    <row r="573" spans="1:8" ht="18.75">
      <c r="A573" s="191"/>
      <c r="B573" s="94" t="s">
        <v>1201</v>
      </c>
      <c r="C573" s="95" t="s">
        <v>1797</v>
      </c>
      <c r="D573" s="360">
        <f>+ROUND('Alim CE Costi'!E1225,2)</f>
        <v>59.13</v>
      </c>
      <c r="E573" s="360">
        <f>+ROUND('Alim CE Costi'!H1225,2)</f>
        <v>9361.89</v>
      </c>
      <c r="F573" s="59"/>
      <c r="G573" s="200"/>
      <c r="H573" s="104"/>
    </row>
    <row r="574" spans="1:8" ht="18.75">
      <c r="A574" s="191"/>
      <c r="B574" s="119" t="s">
        <v>1798</v>
      </c>
      <c r="C574" s="120" t="s">
        <v>1799</v>
      </c>
      <c r="D574" s="363">
        <f t="shared" ref="D574" si="238">+D516-D542</f>
        <v>-6030503.54</v>
      </c>
      <c r="E574" s="363">
        <f t="shared" ref="E574" si="239">+E516-E542</f>
        <v>4954280.57</v>
      </c>
      <c r="F574" s="59"/>
      <c r="G574" s="200"/>
      <c r="H574" s="104"/>
    </row>
    <row r="575" spans="1:8" ht="25.5">
      <c r="A575" s="191"/>
      <c r="B575" s="89" t="s">
        <v>1800</v>
      </c>
      <c r="C575" s="90" t="s">
        <v>1801</v>
      </c>
      <c r="D575" s="360">
        <f>+D158-D491+D510+D514+D574</f>
        <v>2022260.4700000621</v>
      </c>
      <c r="E575" s="360">
        <f>+E158-E491+E510+E514+E574</f>
        <v>3986411.5399999097</v>
      </c>
      <c r="F575" s="59"/>
      <c r="G575" s="200"/>
      <c r="H575" s="104"/>
    </row>
    <row r="576" spans="1:8" ht="18.75">
      <c r="A576" s="193"/>
      <c r="B576" s="127"/>
      <c r="C576" s="128" t="s">
        <v>1802</v>
      </c>
      <c r="D576" s="364"/>
      <c r="E576" s="364"/>
      <c r="F576" s="303"/>
      <c r="G576" s="200"/>
      <c r="H576" s="105"/>
    </row>
    <row r="577" spans="1:19" ht="18.75">
      <c r="A577" s="191"/>
      <c r="B577" s="117" t="s">
        <v>1202</v>
      </c>
      <c r="C577" s="118" t="s">
        <v>1803</v>
      </c>
      <c r="D577" s="357">
        <f t="shared" ref="D577" si="240">+D578+D579+D580+D581</f>
        <v>1008498.73</v>
      </c>
      <c r="E577" s="357">
        <f t="shared" ref="E577" si="241">+E578+E579+E580+E581</f>
        <v>944993.24</v>
      </c>
      <c r="F577" s="59"/>
      <c r="G577" s="200"/>
      <c r="H577" s="106"/>
    </row>
    <row r="578" spans="1:19" ht="18.75">
      <c r="A578" s="191"/>
      <c r="B578" s="92" t="s">
        <v>1204</v>
      </c>
      <c r="C578" s="93" t="s">
        <v>1804</v>
      </c>
      <c r="D578" s="360">
        <f>+ROUND('Alim CE Costi'!E1229,2)</f>
        <v>826376.67</v>
      </c>
      <c r="E578" s="360">
        <f>+ROUND('Alim CE Costi'!H1229,2)</f>
        <v>710792.57</v>
      </c>
      <c r="F578" s="59"/>
      <c r="G578" s="200"/>
      <c r="H578" s="105"/>
    </row>
    <row r="579" spans="1:19" ht="25.5">
      <c r="A579" s="191"/>
      <c r="B579" s="92" t="s">
        <v>1206</v>
      </c>
      <c r="C579" s="93" t="s">
        <v>1805</v>
      </c>
      <c r="D579" s="360">
        <f>+ROUND('Alim CE Costi'!E1231,2)</f>
        <v>182122.06</v>
      </c>
      <c r="E579" s="360">
        <f>+ROUND('Alim CE Costi'!H1231,2)</f>
        <v>234200.67</v>
      </c>
      <c r="F579" s="59"/>
      <c r="G579" s="200"/>
      <c r="H579" s="104"/>
    </row>
    <row r="580" spans="1:19" ht="25.5">
      <c r="A580" s="191"/>
      <c r="B580" s="92" t="s">
        <v>1208</v>
      </c>
      <c r="C580" s="93" t="s">
        <v>1806</v>
      </c>
      <c r="D580" s="360">
        <f>+ROUND('Alim CE Costi'!E1233,2)</f>
        <v>0</v>
      </c>
      <c r="E580" s="360">
        <f>+ROUND('Alim CE Costi'!H1233,2)</f>
        <v>0</v>
      </c>
      <c r="F580" s="59"/>
      <c r="G580" s="200"/>
      <c r="H580" s="105"/>
    </row>
    <row r="581" spans="1:19" ht="18.75">
      <c r="A581" s="191"/>
      <c r="B581" s="92" t="s">
        <v>1210</v>
      </c>
      <c r="C581" s="93" t="s">
        <v>1807</v>
      </c>
      <c r="D581" s="360">
        <f>+ROUND('Alim CE Costi'!E1235,2)</f>
        <v>0</v>
      </c>
      <c r="E581" s="360">
        <f>+ROUND('Alim CE Costi'!H1235,2)</f>
        <v>0</v>
      </c>
      <c r="F581" s="59"/>
      <c r="G581" s="200"/>
      <c r="H581" s="105"/>
    </row>
    <row r="582" spans="1:19" ht="18.75">
      <c r="A582" s="191"/>
      <c r="B582" s="117" t="s">
        <v>1211</v>
      </c>
      <c r="C582" s="118" t="s">
        <v>1808</v>
      </c>
      <c r="D582" s="357">
        <f t="shared" ref="D582" si="242">+D583+D584</f>
        <v>166456.93</v>
      </c>
      <c r="E582" s="357">
        <f t="shared" ref="E582" si="243">+E583+E584</f>
        <v>166456.82999999999</v>
      </c>
      <c r="F582" s="59"/>
      <c r="G582" s="200"/>
      <c r="H582" s="105"/>
    </row>
    <row r="583" spans="1:19" ht="18.75">
      <c r="A583" s="191"/>
      <c r="B583" s="92" t="s">
        <v>1213</v>
      </c>
      <c r="C583" s="93" t="s">
        <v>1809</v>
      </c>
      <c r="D583" s="360">
        <f>+ROUND('Alim CE Costi'!E1238,2)</f>
        <v>0</v>
      </c>
      <c r="E583" s="360">
        <f>+ROUND('Alim CE Costi'!H1238,2)</f>
        <v>0</v>
      </c>
      <c r="F583" s="59"/>
      <c r="G583" s="200"/>
      <c r="H583" s="106"/>
    </row>
    <row r="584" spans="1:19" ht="18.75">
      <c r="A584" s="191"/>
      <c r="B584" s="92" t="s">
        <v>1215</v>
      </c>
      <c r="C584" s="93" t="s">
        <v>1810</v>
      </c>
      <c r="D584" s="360">
        <f>+ROUND('Alim CE Costi'!E1240,2)</f>
        <v>166456.93</v>
      </c>
      <c r="E584" s="360">
        <f>+ROUND('Alim CE Costi'!H1240,2)</f>
        <v>166456.82999999999</v>
      </c>
      <c r="F584" s="59"/>
      <c r="G584" s="200"/>
      <c r="H584" s="105"/>
      <c r="L584" s="104"/>
      <c r="M584" s="104"/>
      <c r="N584" s="104"/>
      <c r="O584" s="104"/>
      <c r="P584" s="104"/>
      <c r="Q584" s="104"/>
      <c r="R584" s="104"/>
      <c r="S584" s="104"/>
    </row>
    <row r="585" spans="1:19" ht="25.5">
      <c r="A585" s="193"/>
      <c r="B585" s="89" t="s">
        <v>1217</v>
      </c>
      <c r="C585" s="90" t="s">
        <v>1811</v>
      </c>
      <c r="D585" s="360">
        <f>+ROUND('Alim CE Costi'!E1242,2)</f>
        <v>0</v>
      </c>
      <c r="E585" s="360">
        <f>+ROUND('Alim CE Costi'!H1242,2)</f>
        <v>0</v>
      </c>
      <c r="F585" s="303"/>
      <c r="G585" s="200"/>
      <c r="H585" s="107"/>
      <c r="L585" s="104"/>
      <c r="M585" s="104"/>
      <c r="N585" s="104"/>
      <c r="O585" s="104"/>
      <c r="P585" s="104"/>
      <c r="Q585" s="104"/>
      <c r="R585" s="104"/>
      <c r="S585" s="104"/>
    </row>
    <row r="586" spans="1:19" ht="18.75">
      <c r="A586" s="193"/>
      <c r="B586" s="119" t="s">
        <v>1812</v>
      </c>
      <c r="C586" s="120" t="s">
        <v>1813</v>
      </c>
      <c r="D586" s="363">
        <f t="shared" ref="D586" si="244">+D577+D582+D585</f>
        <v>1174955.6599999999</v>
      </c>
      <c r="E586" s="363">
        <f t="shared" ref="E586" si="245">+E577+E582+E585</f>
        <v>1111450.07</v>
      </c>
      <c r="F586" s="59"/>
      <c r="G586" s="200"/>
      <c r="H586" s="108"/>
      <c r="L586" s="104"/>
      <c r="M586" s="104"/>
      <c r="N586" s="104"/>
      <c r="O586" s="104"/>
      <c r="P586" s="104"/>
      <c r="Q586" s="104"/>
      <c r="R586" s="104"/>
      <c r="S586" s="104"/>
    </row>
    <row r="587" spans="1:19" ht="19.5" thickBot="1">
      <c r="A587" s="198"/>
      <c r="B587" s="138" t="s">
        <v>1814</v>
      </c>
      <c r="C587" s="139" t="s">
        <v>1815</v>
      </c>
      <c r="D587" s="369">
        <f t="shared" ref="D587" si="246">+D575-D586</f>
        <v>847304.81000006222</v>
      </c>
      <c r="E587" s="369">
        <f t="shared" ref="E587" si="247">+E575-E586</f>
        <v>2874961.4699999094</v>
      </c>
      <c r="F587" s="59"/>
      <c r="G587" s="200"/>
      <c r="H587" s="108"/>
      <c r="L587" s="105"/>
      <c r="M587" s="105"/>
      <c r="N587" s="105"/>
      <c r="O587" s="105"/>
      <c r="P587" s="105"/>
      <c r="Q587" s="105"/>
      <c r="R587" s="105"/>
      <c r="S587" s="105"/>
    </row>
    <row r="588" spans="1:19">
      <c r="A588" s="110"/>
      <c r="B588" s="109"/>
      <c r="C588" s="110"/>
      <c r="D588" s="110"/>
      <c r="E588" s="110"/>
      <c r="F588" s="110"/>
      <c r="G588" s="110"/>
      <c r="H588" s="110"/>
      <c r="I588" s="110"/>
      <c r="K588" s="111"/>
      <c r="L588" s="111"/>
      <c r="M588" s="111"/>
      <c r="N588" s="111"/>
      <c r="O588" s="335"/>
    </row>
    <row r="589" spans="1:19">
      <c r="A589" s="110"/>
      <c r="B589" s="62" t="s">
        <v>1816</v>
      </c>
      <c r="C589" s="110"/>
      <c r="D589" s="110"/>
      <c r="E589" s="110"/>
      <c r="F589" s="110"/>
      <c r="G589" s="110"/>
      <c r="H589" s="110"/>
      <c r="I589" s="110"/>
      <c r="J589" s="110"/>
      <c r="L589" s="62"/>
      <c r="M589" s="62"/>
      <c r="N589" s="62"/>
      <c r="O589" s="62"/>
      <c r="P589" s="335"/>
    </row>
    <row r="590" spans="1:19" ht="15">
      <c r="A590" s="336"/>
      <c r="B590" s="51"/>
      <c r="C590" s="110"/>
      <c r="D590" s="110"/>
      <c r="E590" s="110"/>
      <c r="F590" s="110"/>
      <c r="G590" s="110"/>
      <c r="H590" s="110"/>
      <c r="I590" s="110"/>
      <c r="J590" s="110"/>
      <c r="L590" s="111"/>
      <c r="M590" s="111"/>
      <c r="N590" s="111"/>
      <c r="O590" s="111"/>
      <c r="P590" s="335"/>
    </row>
    <row r="591" spans="1:19">
      <c r="A591" s="336"/>
      <c r="B591" s="62"/>
      <c r="C591" s="62"/>
      <c r="D591" s="62"/>
      <c r="E591" s="62"/>
      <c r="F591" s="62"/>
      <c r="G591" s="62"/>
      <c r="H591" s="62"/>
      <c r="I591" s="62"/>
      <c r="J591" s="62"/>
      <c r="L591" s="62"/>
      <c r="M591" s="62"/>
      <c r="N591" s="62"/>
      <c r="O591" s="62"/>
      <c r="P591" s="337"/>
    </row>
    <row r="592" spans="1:19">
      <c r="A592" s="336"/>
      <c r="B592" s="55" t="s">
        <v>1817</v>
      </c>
      <c r="C592" s="111"/>
      <c r="D592" s="111" t="s">
        <v>1818</v>
      </c>
      <c r="E592" s="111"/>
      <c r="F592" s="111"/>
      <c r="G592" s="111"/>
      <c r="I592" s="111"/>
      <c r="J592" s="111"/>
      <c r="M592" s="111"/>
      <c r="N592" s="111"/>
      <c r="O592" s="62"/>
      <c r="P592" s="305"/>
    </row>
    <row r="593" spans="1:19">
      <c r="A593" s="110"/>
      <c r="B593" s="62"/>
      <c r="C593" s="62"/>
      <c r="D593" s="62"/>
      <c r="E593" s="62"/>
      <c r="F593" s="62"/>
      <c r="G593" s="62"/>
      <c r="H593" s="62"/>
      <c r="I593" s="62"/>
      <c r="J593" s="62"/>
      <c r="M593" s="62"/>
      <c r="N593" s="62"/>
      <c r="O593" s="62"/>
      <c r="P593" s="337"/>
    </row>
    <row r="594" spans="1:19" ht="15">
      <c r="A594" s="110"/>
      <c r="B594" s="55" t="s">
        <v>1819</v>
      </c>
      <c r="C594" s="110"/>
      <c r="D594" s="106" t="s">
        <v>1819</v>
      </c>
      <c r="E594" s="106"/>
      <c r="F594" s="106"/>
      <c r="G594" s="111"/>
      <c r="H594" s="111"/>
      <c r="I594" s="111"/>
      <c r="J594" s="111"/>
      <c r="M594" s="111"/>
      <c r="N594" s="111"/>
      <c r="O594" s="111"/>
      <c r="P594" s="338"/>
    </row>
    <row r="595" spans="1:19">
      <c r="A595" s="110"/>
      <c r="B595" s="62"/>
      <c r="C595" s="62"/>
      <c r="D595" s="62"/>
      <c r="E595" s="62"/>
      <c r="F595" s="62"/>
      <c r="G595" s="62"/>
      <c r="H595" s="62"/>
      <c r="I595" s="62"/>
      <c r="J595" s="62"/>
      <c r="L595" s="62"/>
      <c r="M595" s="62"/>
      <c r="N595" s="62"/>
      <c r="O595" s="62"/>
      <c r="P595" s="337"/>
    </row>
    <row r="596" spans="1:19">
      <c r="A596" s="110"/>
      <c r="B596" s="62"/>
      <c r="C596" s="62"/>
      <c r="D596" s="106" t="s">
        <v>1820</v>
      </c>
      <c r="E596" s="106"/>
      <c r="F596" s="106"/>
      <c r="G596" s="62"/>
      <c r="L596" s="111"/>
      <c r="M596" s="111"/>
      <c r="N596" s="111"/>
      <c r="O596" s="111"/>
      <c r="P596" s="337"/>
    </row>
    <row r="597" spans="1:19" ht="15">
      <c r="A597" s="110"/>
      <c r="B597" s="62"/>
      <c r="C597" s="62"/>
      <c r="G597" s="111"/>
      <c r="H597" s="111"/>
      <c r="M597" s="52"/>
      <c r="N597" s="52"/>
      <c r="O597" s="52"/>
      <c r="P597" s="337"/>
    </row>
    <row r="598" spans="1:19" ht="15">
      <c r="A598" s="52"/>
      <c r="B598" s="51"/>
      <c r="C598" s="111"/>
      <c r="D598" s="106" t="s">
        <v>1819</v>
      </c>
      <c r="E598" s="106"/>
      <c r="F598" s="106"/>
      <c r="G598" s="62"/>
      <c r="H598" s="62"/>
      <c r="M598" s="52"/>
      <c r="N598" s="52"/>
      <c r="O598" s="52"/>
      <c r="P598" s="338"/>
    </row>
    <row r="599" spans="1:19" ht="15">
      <c r="A599" s="52"/>
      <c r="B599" s="62"/>
      <c r="C599" s="62"/>
      <c r="D599" s="62"/>
      <c r="E599" s="62"/>
      <c r="F599" s="62"/>
      <c r="G599" s="62"/>
      <c r="M599" s="52"/>
      <c r="N599" s="52"/>
      <c r="O599" s="52"/>
      <c r="P599" s="337"/>
    </row>
    <row r="600" spans="1:19" ht="15">
      <c r="A600" s="52"/>
      <c r="C600" s="52"/>
      <c r="D600" s="52"/>
      <c r="E600" s="52"/>
      <c r="F600" s="52"/>
      <c r="G600" s="52"/>
      <c r="H600" s="111"/>
      <c r="I600" s="111"/>
      <c r="J600" s="111"/>
      <c r="M600" s="52"/>
      <c r="N600" s="52"/>
      <c r="O600" s="52"/>
      <c r="Q600" s="52"/>
    </row>
    <row r="601" spans="1:19" ht="15">
      <c r="M601" s="52"/>
      <c r="N601" s="52"/>
      <c r="O601" s="52"/>
    </row>
    <row r="602" spans="1:19" ht="15">
      <c r="P602" s="52"/>
      <c r="Q602" s="52"/>
      <c r="R602" s="52"/>
      <c r="S602" s="52"/>
    </row>
    <row r="603" spans="1:19" ht="15">
      <c r="P603" s="53"/>
      <c r="Q603" s="53"/>
      <c r="R603" s="53"/>
      <c r="S603" s="53"/>
    </row>
    <row r="604" spans="1:19" ht="15">
      <c r="P604" s="53"/>
      <c r="Q604" s="53"/>
      <c r="R604" s="53"/>
      <c r="S604" s="53"/>
    </row>
    <row r="605" spans="1:19" ht="15">
      <c r="P605" s="53"/>
      <c r="Q605" s="53"/>
      <c r="R605" s="53"/>
      <c r="S605" s="53"/>
    </row>
    <row r="606" spans="1:19" ht="15">
      <c r="P606" s="53"/>
      <c r="Q606" s="53"/>
      <c r="R606" s="53"/>
      <c r="S606" s="53"/>
    </row>
    <row r="607" spans="1:19" ht="15">
      <c r="P607" s="53"/>
      <c r="Q607" s="53"/>
      <c r="R607" s="53"/>
      <c r="S607" s="53"/>
    </row>
    <row r="608" spans="1:19" ht="15">
      <c r="P608" s="53"/>
      <c r="Q608" s="53"/>
      <c r="R608" s="53"/>
      <c r="S608" s="53"/>
    </row>
    <row r="609" spans="16:19" ht="15">
      <c r="P609" s="53"/>
      <c r="Q609" s="53"/>
      <c r="R609" s="53"/>
      <c r="S609" s="53"/>
    </row>
    <row r="610" spans="16:19" ht="15">
      <c r="P610" s="53"/>
      <c r="Q610" s="53"/>
      <c r="R610" s="53"/>
      <c r="S610" s="53"/>
    </row>
    <row r="611" spans="16:19" ht="15">
      <c r="P611" s="53"/>
      <c r="Q611" s="53"/>
      <c r="R611" s="53"/>
      <c r="S611" s="53"/>
    </row>
    <row r="612" spans="16:19" ht="15">
      <c r="P612" s="53"/>
      <c r="Q612" s="53"/>
      <c r="R612" s="53"/>
      <c r="S612" s="53"/>
    </row>
    <row r="613" spans="16:19" ht="15">
      <c r="P613" s="53"/>
      <c r="Q613" s="53"/>
      <c r="R613" s="53"/>
      <c r="S613" s="53"/>
    </row>
    <row r="614" spans="16:19" ht="15">
      <c r="P614" s="53"/>
      <c r="Q614" s="53"/>
      <c r="R614" s="53"/>
      <c r="S614" s="53"/>
    </row>
    <row r="615" spans="16:19" ht="15">
      <c r="P615" s="53"/>
      <c r="Q615" s="53"/>
      <c r="R615" s="53"/>
      <c r="S615" s="53"/>
    </row>
    <row r="616" spans="16:19" ht="15">
      <c r="P616" s="53"/>
      <c r="Q616" s="53"/>
      <c r="R616" s="53"/>
      <c r="S616" s="53"/>
    </row>
    <row r="617" spans="16:19" ht="15">
      <c r="P617" s="53"/>
      <c r="Q617" s="53"/>
      <c r="R617" s="53"/>
      <c r="S617" s="53"/>
    </row>
    <row r="618" spans="16:19" ht="15">
      <c r="P618" s="53"/>
      <c r="Q618" s="53"/>
      <c r="R618" s="53"/>
      <c r="S618" s="53"/>
    </row>
    <row r="619" spans="16:19" ht="15">
      <c r="P619" s="53"/>
      <c r="Q619" s="53"/>
      <c r="R619" s="53"/>
      <c r="S619" s="53"/>
    </row>
    <row r="620" spans="16:19" ht="15">
      <c r="P620" s="53"/>
      <c r="Q620" s="53"/>
      <c r="R620" s="53"/>
      <c r="S620" s="53"/>
    </row>
    <row r="621" spans="16:19" ht="15">
      <c r="P621" s="53"/>
      <c r="Q621" s="53"/>
      <c r="R621" s="53"/>
      <c r="S621" s="53"/>
    </row>
    <row r="622" spans="16:19" ht="15">
      <c r="P622" s="53"/>
      <c r="Q622" s="53"/>
      <c r="R622" s="53"/>
      <c r="S622" s="53"/>
    </row>
    <row r="623" spans="16:19" ht="15">
      <c r="P623" s="53"/>
      <c r="Q623" s="53"/>
      <c r="R623" s="53"/>
      <c r="S623" s="53"/>
    </row>
    <row r="624" spans="16:19" ht="15">
      <c r="P624" s="53"/>
      <c r="Q624" s="53"/>
      <c r="R624" s="53"/>
      <c r="S624" s="53"/>
    </row>
    <row r="625" spans="16:19" ht="15">
      <c r="P625" s="53"/>
      <c r="Q625" s="53"/>
      <c r="R625" s="53"/>
      <c r="S625" s="53"/>
    </row>
    <row r="626" spans="16:19" ht="15">
      <c r="P626" s="53"/>
      <c r="Q626" s="53"/>
      <c r="R626" s="53"/>
      <c r="S626" s="53"/>
    </row>
    <row r="627" spans="16:19" ht="15">
      <c r="P627" s="53"/>
      <c r="Q627" s="53"/>
      <c r="R627" s="53"/>
      <c r="S627" s="53"/>
    </row>
    <row r="628" spans="16:19" ht="15">
      <c r="P628" s="53"/>
      <c r="Q628" s="53"/>
      <c r="R628" s="53"/>
      <c r="S628" s="53"/>
    </row>
    <row r="629" spans="16:19" ht="15">
      <c r="P629" s="53"/>
      <c r="Q629" s="53"/>
      <c r="R629" s="53"/>
      <c r="S629" s="53"/>
    </row>
    <row r="630" spans="16:19" ht="15">
      <c r="P630" s="53"/>
      <c r="Q630" s="53"/>
      <c r="R630" s="53"/>
      <c r="S630" s="53"/>
    </row>
    <row r="631" spans="16:19" ht="15">
      <c r="P631" s="53"/>
      <c r="Q631" s="53"/>
      <c r="R631" s="53"/>
      <c r="S631" s="53"/>
    </row>
    <row r="632" spans="16:19" ht="15">
      <c r="P632" s="53"/>
      <c r="Q632" s="53"/>
      <c r="R632" s="53"/>
      <c r="S632" s="53"/>
    </row>
    <row r="633" spans="16:19" ht="15">
      <c r="P633" s="53"/>
      <c r="Q633" s="53"/>
      <c r="R633" s="53"/>
      <c r="S633" s="53"/>
    </row>
    <row r="634" spans="16:19" ht="15">
      <c r="P634" s="53"/>
      <c r="Q634" s="53"/>
      <c r="R634" s="53"/>
      <c r="S634" s="53"/>
    </row>
    <row r="635" spans="16:19" ht="15">
      <c r="P635" s="53"/>
      <c r="Q635" s="53"/>
      <c r="R635" s="53"/>
      <c r="S635" s="53"/>
    </row>
    <row r="636" spans="16:19" ht="15">
      <c r="P636" s="53"/>
      <c r="Q636" s="53"/>
      <c r="R636" s="53"/>
      <c r="S636" s="53"/>
    </row>
    <row r="637" spans="16:19" ht="15">
      <c r="P637" s="53"/>
      <c r="Q637" s="53"/>
      <c r="R637" s="53"/>
      <c r="S637" s="53"/>
    </row>
    <row r="638" spans="16:19" ht="15">
      <c r="P638" s="53"/>
      <c r="Q638" s="53"/>
      <c r="R638" s="53"/>
      <c r="S638" s="53"/>
    </row>
    <row r="639" spans="16:19" ht="15">
      <c r="P639" s="53"/>
      <c r="Q639" s="53"/>
      <c r="R639" s="53"/>
      <c r="S639" s="53"/>
    </row>
    <row r="640" spans="16:19" ht="15">
      <c r="P640" s="53"/>
      <c r="Q640" s="53"/>
      <c r="R640" s="53"/>
      <c r="S640" s="53"/>
    </row>
    <row r="641" spans="16:19" ht="15">
      <c r="P641" s="53"/>
      <c r="Q641" s="53"/>
      <c r="R641" s="53"/>
      <c r="S641" s="53"/>
    </row>
    <row r="642" spans="16:19" ht="15">
      <c r="P642" s="53"/>
      <c r="Q642" s="53"/>
      <c r="R642" s="53"/>
      <c r="S642" s="53"/>
    </row>
    <row r="643" spans="16:19" ht="15">
      <c r="P643" s="53"/>
      <c r="Q643" s="53"/>
      <c r="R643" s="53"/>
      <c r="S643" s="53"/>
    </row>
    <row r="644" spans="16:19" ht="15">
      <c r="P644" s="53"/>
      <c r="Q644" s="53"/>
      <c r="R644" s="53"/>
      <c r="S644" s="53"/>
    </row>
    <row r="645" spans="16:19" ht="15">
      <c r="P645" s="53"/>
      <c r="Q645" s="53"/>
      <c r="R645" s="53"/>
      <c r="S645" s="53"/>
    </row>
    <row r="646" spans="16:19" ht="15">
      <c r="P646" s="53"/>
      <c r="Q646" s="53"/>
      <c r="R646" s="53"/>
      <c r="S646" s="53"/>
    </row>
    <row r="647" spans="16:19" ht="15">
      <c r="P647" s="53"/>
      <c r="Q647" s="53"/>
      <c r="R647" s="53"/>
      <c r="S647" s="53"/>
    </row>
    <row r="648" spans="16:19" ht="15">
      <c r="P648" s="53"/>
      <c r="Q648" s="53"/>
      <c r="R648" s="53"/>
      <c r="S648" s="53"/>
    </row>
    <row r="649" spans="16:19" ht="15">
      <c r="P649" s="53"/>
      <c r="Q649" s="53"/>
      <c r="R649" s="53"/>
      <c r="S649" s="53"/>
    </row>
    <row r="650" spans="16:19" ht="15">
      <c r="P650" s="53"/>
      <c r="Q650" s="53"/>
      <c r="R650" s="53"/>
      <c r="S650" s="53"/>
    </row>
  </sheetData>
  <mergeCells count="6">
    <mergeCell ref="T1:V2"/>
    <mergeCell ref="D23:F23"/>
    <mergeCell ref="L10:N10"/>
    <mergeCell ref="L12:M12"/>
    <mergeCell ref="L14:N14"/>
    <mergeCell ref="Q14:T14"/>
  </mergeCells>
  <printOptions horizontalCentered="1"/>
  <pageMargins left="0" right="0" top="0.19685039370078741" bottom="0.19685039370078741" header="0.31496062992125984" footer="0.31496062992125984"/>
  <pageSetup paperSize="9" scale="55" fitToHeight="10" orientation="portrait" r:id="rId1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3"/>
  <sheetViews>
    <sheetView zoomScaleNormal="100" workbookViewId="0">
      <pane ySplit="1" topLeftCell="A2" activePane="bottomLeft" state="frozen"/>
      <selection pane="bottomLeft" activeCell="F1249" sqref="F1249"/>
    </sheetView>
  </sheetViews>
  <sheetFormatPr defaultRowHeight="12.75"/>
  <cols>
    <col min="1" max="1" width="4.7109375" style="350" customWidth="1"/>
    <col min="2" max="2" width="18.7109375" style="216" customWidth="1"/>
    <col min="3" max="3" width="52.28515625" style="290" customWidth="1"/>
    <col min="4" max="4" width="7.42578125" customWidth="1"/>
    <col min="5" max="8" width="15.7109375" style="210" customWidth="1"/>
    <col min="9" max="9" width="9.7109375" bestFit="1" customWidth="1"/>
    <col min="13" max="13" width="9.5703125" bestFit="1" customWidth="1"/>
  </cols>
  <sheetData>
    <row r="1" spans="1:9" s="291" customFormat="1" ht="51.75" thickBot="1">
      <c r="A1" s="334" t="s">
        <v>120</v>
      </c>
      <c r="B1" s="307" t="s">
        <v>2048</v>
      </c>
      <c r="C1" s="307" t="s">
        <v>121</v>
      </c>
      <c r="D1" s="307" t="s">
        <v>1936</v>
      </c>
      <c r="E1" s="339" t="s">
        <v>2656</v>
      </c>
      <c r="F1" s="308" t="s">
        <v>2657</v>
      </c>
      <c r="G1" s="308" t="s">
        <v>2658</v>
      </c>
      <c r="H1" s="339" t="s">
        <v>2659</v>
      </c>
      <c r="I1"/>
    </row>
    <row r="2" spans="1:9">
      <c r="A2" s="391" t="s">
        <v>1960</v>
      </c>
      <c r="B2" s="382" t="s">
        <v>2049</v>
      </c>
      <c r="C2" s="382" t="s">
        <v>2050</v>
      </c>
      <c r="D2" s="392"/>
      <c r="E2" s="393"/>
      <c r="F2" s="393"/>
      <c r="G2" s="393"/>
      <c r="H2" s="393"/>
    </row>
    <row r="3" spans="1:9">
      <c r="A3" s="394" t="s">
        <v>1963</v>
      </c>
      <c r="B3" s="310" t="s">
        <v>463</v>
      </c>
      <c r="C3" s="310" t="s">
        <v>2051</v>
      </c>
      <c r="D3" s="321"/>
      <c r="E3" s="326"/>
      <c r="F3" s="326"/>
      <c r="G3" s="326"/>
      <c r="H3" s="326"/>
    </row>
    <row r="4" spans="1:9">
      <c r="A4" s="394" t="s">
        <v>1965</v>
      </c>
      <c r="B4" s="310" t="s">
        <v>464</v>
      </c>
      <c r="C4" s="310" t="s">
        <v>2052</v>
      </c>
      <c r="D4" s="321"/>
      <c r="E4" s="326"/>
      <c r="F4" s="326"/>
      <c r="G4" s="326"/>
      <c r="H4" s="326"/>
    </row>
    <row r="5" spans="1:9">
      <c r="A5" s="394" t="s">
        <v>1967</v>
      </c>
      <c r="B5" s="310" t="s">
        <v>465</v>
      </c>
      <c r="C5" s="310" t="s">
        <v>2053</v>
      </c>
      <c r="D5" s="321"/>
      <c r="E5" s="326"/>
      <c r="F5" s="326"/>
      <c r="G5" s="326"/>
      <c r="H5" s="326"/>
    </row>
    <row r="6" spans="1:9" ht="25.5">
      <c r="A6" s="394" t="s">
        <v>1969</v>
      </c>
      <c r="B6" s="310" t="s">
        <v>466</v>
      </c>
      <c r="C6" s="310" t="s">
        <v>2054</v>
      </c>
      <c r="D6" s="321"/>
      <c r="E6" s="326"/>
      <c r="F6" s="326"/>
      <c r="G6" s="326"/>
      <c r="H6" s="326"/>
    </row>
    <row r="7" spans="1:9" ht="24">
      <c r="A7" s="395">
        <v>7</v>
      </c>
      <c r="B7" s="792">
        <v>300100100100000</v>
      </c>
      <c r="C7" s="313" t="s">
        <v>467</v>
      </c>
      <c r="D7" s="322"/>
      <c r="E7" s="328">
        <f>+F7+G7</f>
        <v>334546944.58999997</v>
      </c>
      <c r="F7" s="347">
        <v>334546944.58999997</v>
      </c>
      <c r="G7" s="347"/>
      <c r="H7" s="328">
        <v>315613865.48000002</v>
      </c>
      <c r="I7" s="210"/>
    </row>
    <row r="8" spans="1:9">
      <c r="A8" s="395">
        <v>7</v>
      </c>
      <c r="B8" s="792">
        <v>300100100110000</v>
      </c>
      <c r="C8" s="313" t="s">
        <v>1937</v>
      </c>
      <c r="D8" s="322"/>
      <c r="E8" s="328">
        <f t="shared" ref="E8:E69" si="0">+F8+G8</f>
        <v>0.35</v>
      </c>
      <c r="F8" s="347">
        <v>0.35</v>
      </c>
      <c r="G8" s="347"/>
      <c r="H8" s="328">
        <v>1</v>
      </c>
      <c r="I8" s="210"/>
    </row>
    <row r="9" spans="1:9">
      <c r="A9" s="394" t="s">
        <v>1969</v>
      </c>
      <c r="B9" s="793" t="s">
        <v>469</v>
      </c>
      <c r="C9" s="310" t="s">
        <v>1378</v>
      </c>
      <c r="D9" s="321"/>
      <c r="E9" s="352"/>
      <c r="F9" s="352"/>
      <c r="G9" s="352"/>
      <c r="H9" s="352">
        <v>0</v>
      </c>
    </row>
    <row r="10" spans="1:9">
      <c r="A10" s="395" t="s">
        <v>1970</v>
      </c>
      <c r="B10" s="792">
        <v>300100100200000</v>
      </c>
      <c r="C10" s="313" t="s">
        <v>468</v>
      </c>
      <c r="D10" s="322"/>
      <c r="E10" s="328">
        <f t="shared" si="0"/>
        <v>3356440.24</v>
      </c>
      <c r="F10" s="347">
        <v>3356440.24</v>
      </c>
      <c r="G10" s="347"/>
      <c r="H10" s="328">
        <v>3403375.55</v>
      </c>
      <c r="I10" s="210"/>
    </row>
    <row r="11" spans="1:9" ht="24">
      <c r="A11" s="395">
        <v>7</v>
      </c>
      <c r="B11" s="792">
        <v>300100100210000</v>
      </c>
      <c r="C11" s="313" t="s">
        <v>1938</v>
      </c>
      <c r="D11" s="322"/>
      <c r="E11" s="328">
        <f t="shared" si="0"/>
        <v>3.4</v>
      </c>
      <c r="F11" s="347">
        <v>3.4</v>
      </c>
      <c r="G11" s="347"/>
      <c r="H11" s="328">
        <v>2.27</v>
      </c>
      <c r="I11" s="210"/>
    </row>
    <row r="12" spans="1:9">
      <c r="A12" s="394" t="s">
        <v>1969</v>
      </c>
      <c r="B12" s="793" t="s">
        <v>471</v>
      </c>
      <c r="C12" s="310" t="s">
        <v>1379</v>
      </c>
      <c r="D12" s="321"/>
      <c r="E12" s="352"/>
      <c r="F12" s="352"/>
      <c r="G12" s="352"/>
      <c r="H12" s="352">
        <v>0</v>
      </c>
    </row>
    <row r="13" spans="1:9">
      <c r="A13" s="395" t="s">
        <v>1970</v>
      </c>
      <c r="B13" s="792">
        <v>300100100250000</v>
      </c>
      <c r="C13" s="313" t="s">
        <v>470</v>
      </c>
      <c r="D13" s="322"/>
      <c r="E13" s="328">
        <f t="shared" si="0"/>
        <v>0</v>
      </c>
      <c r="F13" s="347"/>
      <c r="G13" s="347"/>
      <c r="H13" s="328">
        <v>0</v>
      </c>
      <c r="I13" s="210"/>
    </row>
    <row r="14" spans="1:9">
      <c r="A14" s="394" t="s">
        <v>1969</v>
      </c>
      <c r="B14" s="793" t="s">
        <v>472</v>
      </c>
      <c r="C14" s="310" t="s">
        <v>1380</v>
      </c>
      <c r="D14" s="321"/>
      <c r="E14" s="352"/>
      <c r="F14" s="352"/>
      <c r="G14" s="352"/>
      <c r="H14" s="352">
        <v>0</v>
      </c>
    </row>
    <row r="15" spans="1:9" ht="38.25">
      <c r="A15" s="394" t="s">
        <v>1970</v>
      </c>
      <c r="B15" s="793" t="s">
        <v>474</v>
      </c>
      <c r="C15" s="310" t="s">
        <v>1381</v>
      </c>
      <c r="D15" s="321" t="s">
        <v>1248</v>
      </c>
      <c r="E15" s="352"/>
      <c r="F15" s="352"/>
      <c r="G15" s="352"/>
      <c r="H15" s="352">
        <v>0</v>
      </c>
    </row>
    <row r="16" spans="1:9" ht="24">
      <c r="A16" s="395" t="s">
        <v>2017</v>
      </c>
      <c r="B16" s="792">
        <v>300100100301000</v>
      </c>
      <c r="C16" s="313" t="s">
        <v>473</v>
      </c>
      <c r="D16" s="322" t="s">
        <v>1248</v>
      </c>
      <c r="E16" s="328">
        <f t="shared" si="0"/>
        <v>0</v>
      </c>
      <c r="F16" s="347"/>
      <c r="G16" s="347"/>
      <c r="H16" s="328">
        <v>0</v>
      </c>
      <c r="I16" s="210"/>
    </row>
    <row r="17" spans="1:9" ht="38.25">
      <c r="A17" s="394" t="s">
        <v>1970</v>
      </c>
      <c r="B17" s="793" t="s">
        <v>476</v>
      </c>
      <c r="C17" s="310" t="s">
        <v>2055</v>
      </c>
      <c r="D17" s="321"/>
      <c r="E17" s="352"/>
      <c r="F17" s="352"/>
      <c r="G17" s="352"/>
      <c r="H17" s="352">
        <v>0</v>
      </c>
    </row>
    <row r="18" spans="1:9" ht="24">
      <c r="A18" s="395" t="s">
        <v>2017</v>
      </c>
      <c r="B18" s="792">
        <v>300100100302000</v>
      </c>
      <c r="C18" s="313" t="s">
        <v>475</v>
      </c>
      <c r="D18" s="322"/>
      <c r="E18" s="328">
        <f t="shared" si="0"/>
        <v>0</v>
      </c>
      <c r="F18" s="347"/>
      <c r="G18" s="347"/>
      <c r="H18" s="328">
        <v>0</v>
      </c>
      <c r="I18" s="210"/>
    </row>
    <row r="19" spans="1:9" ht="25.5">
      <c r="A19" s="394" t="s">
        <v>1970</v>
      </c>
      <c r="B19" s="793" t="s">
        <v>478</v>
      </c>
      <c r="C19" s="310" t="s">
        <v>1383</v>
      </c>
      <c r="D19" s="321"/>
      <c r="E19" s="352"/>
      <c r="F19" s="352"/>
      <c r="G19" s="352"/>
      <c r="H19" s="352">
        <v>0</v>
      </c>
    </row>
    <row r="20" spans="1:9">
      <c r="A20" s="395" t="s">
        <v>2017</v>
      </c>
      <c r="B20" s="792">
        <v>300100100303000</v>
      </c>
      <c r="C20" s="313" t="s">
        <v>477</v>
      </c>
      <c r="D20" s="322"/>
      <c r="E20" s="328">
        <f t="shared" si="0"/>
        <v>0</v>
      </c>
      <c r="F20" s="347"/>
      <c r="G20" s="347"/>
      <c r="H20" s="328">
        <v>0</v>
      </c>
      <c r="I20" s="210"/>
    </row>
    <row r="21" spans="1:9">
      <c r="A21" s="394" t="s">
        <v>1967</v>
      </c>
      <c r="B21" s="793" t="s">
        <v>479</v>
      </c>
      <c r="C21" s="310" t="s">
        <v>2056</v>
      </c>
      <c r="D21" s="321"/>
      <c r="E21" s="352"/>
      <c r="F21" s="352"/>
      <c r="G21" s="352"/>
      <c r="H21" s="352">
        <v>0</v>
      </c>
    </row>
    <row r="22" spans="1:9" ht="25.5">
      <c r="A22" s="394" t="s">
        <v>1969</v>
      </c>
      <c r="B22" s="793" t="s">
        <v>480</v>
      </c>
      <c r="C22" s="310" t="s">
        <v>1385</v>
      </c>
      <c r="D22" s="321" t="s">
        <v>1248</v>
      </c>
      <c r="E22" s="352"/>
      <c r="F22" s="352"/>
      <c r="G22" s="352"/>
      <c r="H22" s="352">
        <v>0</v>
      </c>
    </row>
    <row r="23" spans="1:9" ht="24">
      <c r="A23" s="395" t="s">
        <v>1970</v>
      </c>
      <c r="B23" s="792">
        <v>300100200100000</v>
      </c>
      <c r="C23" s="313" t="s">
        <v>2057</v>
      </c>
      <c r="D23" s="322" t="s">
        <v>1248</v>
      </c>
      <c r="E23" s="328">
        <f t="shared" si="0"/>
        <v>0</v>
      </c>
      <c r="F23" s="347"/>
      <c r="G23" s="347"/>
      <c r="H23" s="328">
        <v>0</v>
      </c>
      <c r="I23" s="210"/>
    </row>
    <row r="24" spans="1:9" ht="25.5">
      <c r="A24" s="394" t="s">
        <v>1969</v>
      </c>
      <c r="B24" s="793" t="s">
        <v>481</v>
      </c>
      <c r="C24" s="310" t="s">
        <v>1386</v>
      </c>
      <c r="D24" s="321"/>
      <c r="E24" s="352"/>
      <c r="F24" s="352"/>
      <c r="G24" s="352"/>
      <c r="H24" s="352">
        <v>0</v>
      </c>
    </row>
    <row r="25" spans="1:9" ht="24">
      <c r="A25" s="395" t="s">
        <v>1970</v>
      </c>
      <c r="B25" s="792">
        <v>300100200200000</v>
      </c>
      <c r="C25" s="313" t="s">
        <v>2058</v>
      </c>
      <c r="D25" s="322"/>
      <c r="E25" s="328">
        <f t="shared" si="0"/>
        <v>0</v>
      </c>
      <c r="F25" s="347"/>
      <c r="G25" s="347"/>
      <c r="H25" s="328">
        <v>0</v>
      </c>
      <c r="I25" s="210"/>
    </row>
    <row r="26" spans="1:9">
      <c r="A26" s="394" t="s">
        <v>1969</v>
      </c>
      <c r="B26" s="793" t="s">
        <v>483</v>
      </c>
      <c r="C26" s="310" t="s">
        <v>1387</v>
      </c>
      <c r="D26" s="321"/>
      <c r="E26" s="352"/>
      <c r="F26" s="352"/>
      <c r="G26" s="352"/>
      <c r="H26" s="352">
        <v>0</v>
      </c>
    </row>
    <row r="27" spans="1:9">
      <c r="A27" s="395" t="s">
        <v>1970</v>
      </c>
      <c r="B27" s="792">
        <v>300100200300000</v>
      </c>
      <c r="C27" s="313" t="s">
        <v>482</v>
      </c>
      <c r="D27" s="322"/>
      <c r="E27" s="328">
        <f t="shared" si="0"/>
        <v>0</v>
      </c>
      <c r="F27" s="347"/>
      <c r="G27" s="347"/>
      <c r="H27" s="328">
        <v>0</v>
      </c>
      <c r="I27" s="210"/>
    </row>
    <row r="28" spans="1:9">
      <c r="A28" s="394" t="s">
        <v>1967</v>
      </c>
      <c r="B28" s="793" t="s">
        <v>485</v>
      </c>
      <c r="C28" s="310" t="s">
        <v>1388</v>
      </c>
      <c r="D28" s="321"/>
      <c r="E28" s="352"/>
      <c r="F28" s="352"/>
      <c r="G28" s="352"/>
      <c r="H28" s="352">
        <v>0</v>
      </c>
    </row>
    <row r="29" spans="1:9">
      <c r="A29" s="394" t="s">
        <v>1969</v>
      </c>
      <c r="B29" s="793" t="s">
        <v>486</v>
      </c>
      <c r="C29" s="310" t="s">
        <v>2059</v>
      </c>
      <c r="D29" s="321"/>
      <c r="E29" s="352"/>
      <c r="F29" s="352"/>
      <c r="G29" s="352"/>
      <c r="H29" s="352">
        <v>0</v>
      </c>
    </row>
    <row r="30" spans="1:9">
      <c r="A30" s="395" t="s">
        <v>1970</v>
      </c>
      <c r="B30" s="792">
        <v>300100300100000</v>
      </c>
      <c r="C30" s="313" t="s">
        <v>484</v>
      </c>
      <c r="D30" s="322"/>
      <c r="E30" s="328">
        <f t="shared" si="0"/>
        <v>90492664.870000005</v>
      </c>
      <c r="F30" s="347">
        <v>90492664.870000005</v>
      </c>
      <c r="G30" s="347"/>
      <c r="H30" s="328">
        <v>88606410.739999995</v>
      </c>
      <c r="I30" s="210"/>
    </row>
    <row r="31" spans="1:9">
      <c r="A31" s="395">
        <v>7</v>
      </c>
      <c r="B31" s="792">
        <v>300100300110000</v>
      </c>
      <c r="C31" s="313" t="s">
        <v>1939</v>
      </c>
      <c r="D31" s="322"/>
      <c r="E31" s="328">
        <f t="shared" si="0"/>
        <v>385.64</v>
      </c>
      <c r="F31" s="347">
        <v>385.64</v>
      </c>
      <c r="G31" s="347"/>
      <c r="H31" s="328">
        <v>193.18</v>
      </c>
      <c r="I31" s="210"/>
    </row>
    <row r="32" spans="1:9">
      <c r="A32" s="394" t="s">
        <v>1969</v>
      </c>
      <c r="B32" s="793" t="s">
        <v>488</v>
      </c>
      <c r="C32" s="310" t="s">
        <v>2060</v>
      </c>
      <c r="D32" s="321"/>
      <c r="E32" s="352"/>
      <c r="F32" s="352"/>
      <c r="G32" s="352"/>
      <c r="H32" s="352">
        <v>0</v>
      </c>
    </row>
    <row r="33" spans="1:9">
      <c r="A33" s="395" t="s">
        <v>1970</v>
      </c>
      <c r="B33" s="792">
        <v>300100300200000</v>
      </c>
      <c r="C33" s="313" t="s">
        <v>487</v>
      </c>
      <c r="D33" s="322"/>
      <c r="E33" s="328">
        <f t="shared" si="0"/>
        <v>3842143.51</v>
      </c>
      <c r="F33" s="347">
        <v>3842143.51</v>
      </c>
      <c r="G33" s="347"/>
      <c r="H33" s="328">
        <v>787034.04</v>
      </c>
      <c r="I33" s="210"/>
    </row>
    <row r="34" spans="1:9" ht="24">
      <c r="A34" s="395">
        <v>7</v>
      </c>
      <c r="B34" s="792">
        <v>300100300210000</v>
      </c>
      <c r="C34" s="313" t="s">
        <v>1940</v>
      </c>
      <c r="D34" s="322"/>
      <c r="E34" s="328">
        <f t="shared" si="0"/>
        <v>0</v>
      </c>
      <c r="F34" s="347"/>
      <c r="G34" s="347"/>
      <c r="H34" s="328">
        <v>0</v>
      </c>
      <c r="I34" s="210"/>
    </row>
    <row r="35" spans="1:9">
      <c r="A35" s="394" t="s">
        <v>1969</v>
      </c>
      <c r="B35" s="793" t="s">
        <v>490</v>
      </c>
      <c r="C35" s="310" t="s">
        <v>2061</v>
      </c>
      <c r="D35" s="321"/>
      <c r="E35" s="352"/>
      <c r="F35" s="352"/>
      <c r="G35" s="352"/>
      <c r="H35" s="352">
        <v>0</v>
      </c>
    </row>
    <row r="36" spans="1:9">
      <c r="A36" s="395" t="s">
        <v>1970</v>
      </c>
      <c r="B36" s="792">
        <v>300100300300000</v>
      </c>
      <c r="C36" s="313" t="s">
        <v>489</v>
      </c>
      <c r="D36" s="322"/>
      <c r="E36" s="328">
        <f t="shared" si="0"/>
        <v>4656593.3600000003</v>
      </c>
      <c r="F36" s="347">
        <v>4656593.3600000003</v>
      </c>
      <c r="G36" s="347"/>
      <c r="H36" s="328">
        <v>6263885.1399999997</v>
      </c>
      <c r="I36" s="210"/>
    </row>
    <row r="37" spans="1:9" ht="24">
      <c r="A37" s="395">
        <v>7</v>
      </c>
      <c r="B37" s="792">
        <v>300100300310000</v>
      </c>
      <c r="C37" s="313" t="s">
        <v>1941</v>
      </c>
      <c r="D37" s="322"/>
      <c r="E37" s="328">
        <f t="shared" si="0"/>
        <v>0</v>
      </c>
      <c r="F37" s="347"/>
      <c r="G37" s="347"/>
      <c r="H37" s="328">
        <v>1.79</v>
      </c>
      <c r="I37" s="210"/>
    </row>
    <row r="38" spans="1:9">
      <c r="A38" s="394" t="s">
        <v>1967</v>
      </c>
      <c r="B38" s="793" t="s">
        <v>492</v>
      </c>
      <c r="C38" s="310" t="s">
        <v>2062</v>
      </c>
      <c r="D38" s="321"/>
      <c r="E38" s="352"/>
      <c r="F38" s="352"/>
      <c r="G38" s="352"/>
      <c r="H38" s="352">
        <v>0</v>
      </c>
    </row>
    <row r="39" spans="1:9">
      <c r="A39" s="395" t="s">
        <v>1969</v>
      </c>
      <c r="B39" s="792">
        <v>300100400000000</v>
      </c>
      <c r="C39" s="313" t="s">
        <v>491</v>
      </c>
      <c r="D39" s="322"/>
      <c r="E39" s="328">
        <f t="shared" si="0"/>
        <v>3114596.5</v>
      </c>
      <c r="F39" s="347">
        <v>3114596.5</v>
      </c>
      <c r="G39" s="347"/>
      <c r="H39" s="328">
        <v>2354109.0299999998</v>
      </c>
      <c r="I39" s="210"/>
    </row>
    <row r="40" spans="1:9">
      <c r="A40" s="395">
        <v>6</v>
      </c>
      <c r="B40" s="792">
        <v>300100400100000</v>
      </c>
      <c r="C40" s="313" t="s">
        <v>1942</v>
      </c>
      <c r="D40" s="322"/>
      <c r="E40" s="328">
        <f t="shared" si="0"/>
        <v>0</v>
      </c>
      <c r="F40" s="347"/>
      <c r="G40" s="347"/>
      <c r="H40" s="328">
        <v>0</v>
      </c>
      <c r="I40" s="210"/>
    </row>
    <row r="41" spans="1:9">
      <c r="A41" s="394" t="s">
        <v>1967</v>
      </c>
      <c r="B41" s="793" t="s">
        <v>494</v>
      </c>
      <c r="C41" s="310" t="s">
        <v>2063</v>
      </c>
      <c r="D41" s="321"/>
      <c r="E41" s="352"/>
      <c r="F41" s="352"/>
      <c r="G41" s="352"/>
      <c r="H41" s="352">
        <v>0</v>
      </c>
    </row>
    <row r="42" spans="1:9">
      <c r="A42" s="395" t="s">
        <v>1969</v>
      </c>
      <c r="B42" s="792">
        <v>300100500000000</v>
      </c>
      <c r="C42" s="313" t="s">
        <v>493</v>
      </c>
      <c r="D42" s="322"/>
      <c r="E42" s="328">
        <f t="shared" si="0"/>
        <v>17232957.370000001</v>
      </c>
      <c r="F42" s="347">
        <v>17232957.370000001</v>
      </c>
      <c r="G42" s="347"/>
      <c r="H42" s="328">
        <v>15808515.710000001</v>
      </c>
      <c r="I42" s="210"/>
    </row>
    <row r="43" spans="1:9" ht="24">
      <c r="A43" s="395">
        <v>6</v>
      </c>
      <c r="B43" s="792">
        <v>300100500100000</v>
      </c>
      <c r="C43" s="313" t="s">
        <v>1943</v>
      </c>
      <c r="D43" s="322"/>
      <c r="E43" s="328">
        <f t="shared" si="0"/>
        <v>0</v>
      </c>
      <c r="F43" s="347"/>
      <c r="G43" s="347"/>
      <c r="H43" s="328">
        <v>0</v>
      </c>
      <c r="I43" s="210"/>
    </row>
    <row r="44" spans="1:9">
      <c r="A44" s="394" t="s">
        <v>1967</v>
      </c>
      <c r="B44" s="793" t="s">
        <v>496</v>
      </c>
      <c r="C44" s="310" t="s">
        <v>2064</v>
      </c>
      <c r="D44" s="321"/>
      <c r="E44" s="352"/>
      <c r="F44" s="352"/>
      <c r="G44" s="352"/>
      <c r="H44" s="352">
        <v>0</v>
      </c>
    </row>
    <row r="45" spans="1:9">
      <c r="A45" s="395" t="s">
        <v>1969</v>
      </c>
      <c r="B45" s="792">
        <v>300100600000000</v>
      </c>
      <c r="C45" s="313" t="s">
        <v>495</v>
      </c>
      <c r="D45" s="322"/>
      <c r="E45" s="328">
        <f t="shared" si="0"/>
        <v>2060.08</v>
      </c>
      <c r="F45" s="347">
        <v>2060.08</v>
      </c>
      <c r="G45" s="347"/>
      <c r="H45" s="328">
        <v>14794.1</v>
      </c>
      <c r="I45" s="210"/>
    </row>
    <row r="46" spans="1:9">
      <c r="A46" s="395">
        <v>6</v>
      </c>
      <c r="B46" s="792">
        <v>300100600100000</v>
      </c>
      <c r="C46" s="313" t="s">
        <v>1944</v>
      </c>
      <c r="D46" s="322"/>
      <c r="E46" s="328">
        <f t="shared" si="0"/>
        <v>0</v>
      </c>
      <c r="F46" s="347"/>
      <c r="G46" s="347"/>
      <c r="H46" s="328">
        <v>0</v>
      </c>
      <c r="I46" s="210"/>
    </row>
    <row r="47" spans="1:9">
      <c r="A47" s="394" t="s">
        <v>1967</v>
      </c>
      <c r="B47" s="793" t="s">
        <v>498</v>
      </c>
      <c r="C47" s="310" t="s">
        <v>2065</v>
      </c>
      <c r="D47" s="321"/>
      <c r="E47" s="352"/>
      <c r="F47" s="352"/>
      <c r="G47" s="352"/>
      <c r="H47" s="352">
        <v>0</v>
      </c>
    </row>
    <row r="48" spans="1:9">
      <c r="A48" s="395" t="s">
        <v>1969</v>
      </c>
      <c r="B48" s="792">
        <v>300100700000000</v>
      </c>
      <c r="C48" s="313" t="s">
        <v>497</v>
      </c>
      <c r="D48" s="322"/>
      <c r="E48" s="328">
        <f t="shared" si="0"/>
        <v>20138.93</v>
      </c>
      <c r="F48" s="347">
        <v>20138.93</v>
      </c>
      <c r="G48" s="347"/>
      <c r="H48" s="328">
        <v>47393.64</v>
      </c>
      <c r="I48" s="210"/>
    </row>
    <row r="49" spans="1:9" ht="24">
      <c r="A49" s="395">
        <v>6</v>
      </c>
      <c r="B49" s="792">
        <v>300100700100000</v>
      </c>
      <c r="C49" s="313" t="s">
        <v>1945</v>
      </c>
      <c r="D49" s="322"/>
      <c r="E49" s="328">
        <f t="shared" si="0"/>
        <v>0</v>
      </c>
      <c r="F49" s="347"/>
      <c r="G49" s="347"/>
      <c r="H49" s="328">
        <v>0</v>
      </c>
      <c r="I49" s="210"/>
    </row>
    <row r="50" spans="1:9">
      <c r="A50" s="394" t="s">
        <v>1967</v>
      </c>
      <c r="B50" s="793" t="s">
        <v>500</v>
      </c>
      <c r="C50" s="310" t="s">
        <v>2066</v>
      </c>
      <c r="D50" s="321"/>
      <c r="E50" s="352"/>
      <c r="F50" s="352"/>
      <c r="G50" s="352"/>
      <c r="H50" s="352">
        <v>0</v>
      </c>
    </row>
    <row r="51" spans="1:9">
      <c r="A51" s="395" t="s">
        <v>1969</v>
      </c>
      <c r="B51" s="792">
        <v>300100800000000</v>
      </c>
      <c r="C51" s="313" t="s">
        <v>499</v>
      </c>
      <c r="D51" s="322"/>
      <c r="E51" s="328">
        <f t="shared" si="0"/>
        <v>1621264.19</v>
      </c>
      <c r="F51" s="347">
        <v>1621264.19</v>
      </c>
      <c r="G51" s="347"/>
      <c r="H51" s="328">
        <v>3095803.63</v>
      </c>
      <c r="I51" s="210"/>
    </row>
    <row r="52" spans="1:9" ht="24">
      <c r="A52" s="395">
        <v>6</v>
      </c>
      <c r="B52" s="792">
        <v>300100800100000</v>
      </c>
      <c r="C52" s="313" t="s">
        <v>1946</v>
      </c>
      <c r="D52" s="322"/>
      <c r="E52" s="328">
        <f t="shared" si="0"/>
        <v>0</v>
      </c>
      <c r="F52" s="347"/>
      <c r="G52" s="347"/>
      <c r="H52" s="328">
        <v>0</v>
      </c>
      <c r="I52" s="210"/>
    </row>
    <row r="53" spans="1:9" ht="25.5">
      <c r="A53" s="394" t="s">
        <v>1967</v>
      </c>
      <c r="B53" s="793" t="s">
        <v>501</v>
      </c>
      <c r="C53" s="310" t="s">
        <v>2067</v>
      </c>
      <c r="D53" s="321" t="s">
        <v>1248</v>
      </c>
      <c r="E53" s="352"/>
      <c r="F53" s="352"/>
      <c r="G53" s="352"/>
      <c r="H53" s="352">
        <v>0</v>
      </c>
    </row>
    <row r="54" spans="1:9">
      <c r="A54" s="394" t="s">
        <v>1969</v>
      </c>
      <c r="B54" s="793" t="s">
        <v>502</v>
      </c>
      <c r="C54" s="310" t="s">
        <v>1398</v>
      </c>
      <c r="D54" s="321" t="s">
        <v>1248</v>
      </c>
      <c r="E54" s="352"/>
      <c r="F54" s="352"/>
      <c r="G54" s="352"/>
      <c r="H54" s="352">
        <v>0</v>
      </c>
    </row>
    <row r="55" spans="1:9" ht="24">
      <c r="A55" s="395" t="s">
        <v>1970</v>
      </c>
      <c r="B55" s="792">
        <v>300100900100000</v>
      </c>
      <c r="C55" s="313" t="s">
        <v>2068</v>
      </c>
      <c r="D55" s="322" t="s">
        <v>1248</v>
      </c>
      <c r="E55" s="328">
        <f t="shared" si="0"/>
        <v>0</v>
      </c>
      <c r="F55" s="347"/>
      <c r="G55" s="347"/>
      <c r="H55" s="328">
        <v>0</v>
      </c>
      <c r="I55" s="210"/>
    </row>
    <row r="56" spans="1:9">
      <c r="A56" s="395" t="s">
        <v>1970</v>
      </c>
      <c r="B56" s="792">
        <v>300100900150000</v>
      </c>
      <c r="C56" s="313" t="s">
        <v>2069</v>
      </c>
      <c r="D56" s="322" t="s">
        <v>1248</v>
      </c>
      <c r="E56" s="328">
        <f t="shared" si="0"/>
        <v>0</v>
      </c>
      <c r="F56" s="347"/>
      <c r="G56" s="347"/>
      <c r="H56" s="328">
        <v>0</v>
      </c>
      <c r="I56" s="210"/>
    </row>
    <row r="57" spans="1:9" ht="24">
      <c r="A57" s="395" t="s">
        <v>1970</v>
      </c>
      <c r="B57" s="792">
        <v>300100900200000</v>
      </c>
      <c r="C57" s="313" t="s">
        <v>2070</v>
      </c>
      <c r="D57" s="322" t="s">
        <v>1248</v>
      </c>
      <c r="E57" s="328">
        <f t="shared" si="0"/>
        <v>0</v>
      </c>
      <c r="F57" s="347"/>
      <c r="G57" s="347"/>
      <c r="H57" s="328">
        <v>0</v>
      </c>
      <c r="I57" s="210"/>
    </row>
    <row r="58" spans="1:9">
      <c r="A58" s="394" t="s">
        <v>1969</v>
      </c>
      <c r="B58" s="793" t="s">
        <v>503</v>
      </c>
      <c r="C58" s="310" t="s">
        <v>1399</v>
      </c>
      <c r="D58" s="321" t="s">
        <v>1248</v>
      </c>
      <c r="E58" s="352"/>
      <c r="F58" s="352"/>
      <c r="G58" s="352"/>
      <c r="H58" s="352">
        <v>0</v>
      </c>
    </row>
    <row r="59" spans="1:9">
      <c r="A59" s="395" t="s">
        <v>1970</v>
      </c>
      <c r="B59" s="792">
        <v>300100900300000</v>
      </c>
      <c r="C59" s="313" t="s">
        <v>2071</v>
      </c>
      <c r="D59" s="322" t="s">
        <v>1248</v>
      </c>
      <c r="E59" s="328">
        <f t="shared" si="0"/>
        <v>0</v>
      </c>
      <c r="F59" s="347"/>
      <c r="G59" s="347"/>
      <c r="H59" s="328">
        <v>0</v>
      </c>
      <c r="I59" s="210"/>
    </row>
    <row r="60" spans="1:9" ht="24">
      <c r="A60" s="395" t="s">
        <v>1970</v>
      </c>
      <c r="B60" s="792">
        <v>300100900350000</v>
      </c>
      <c r="C60" s="313" t="s">
        <v>2072</v>
      </c>
      <c r="D60" s="322" t="s">
        <v>1248</v>
      </c>
      <c r="E60" s="328">
        <f t="shared" si="0"/>
        <v>0</v>
      </c>
      <c r="F60" s="347"/>
      <c r="G60" s="347"/>
      <c r="H60" s="328">
        <v>0</v>
      </c>
      <c r="I60" s="210"/>
    </row>
    <row r="61" spans="1:9" ht="24">
      <c r="A61" s="395" t="s">
        <v>1970</v>
      </c>
      <c r="B61" s="792">
        <v>300100900400000</v>
      </c>
      <c r="C61" s="313" t="s">
        <v>2073</v>
      </c>
      <c r="D61" s="322" t="s">
        <v>1248</v>
      </c>
      <c r="E61" s="328">
        <f t="shared" si="0"/>
        <v>0</v>
      </c>
      <c r="F61" s="347"/>
      <c r="G61" s="347"/>
      <c r="H61" s="328">
        <v>0</v>
      </c>
      <c r="I61" s="210"/>
    </row>
    <row r="62" spans="1:9">
      <c r="A62" s="394" t="s">
        <v>1969</v>
      </c>
      <c r="B62" s="793" t="s">
        <v>504</v>
      </c>
      <c r="C62" s="310" t="s">
        <v>1400</v>
      </c>
      <c r="D62" s="321" t="s">
        <v>1248</v>
      </c>
      <c r="E62" s="352"/>
      <c r="F62" s="352"/>
      <c r="G62" s="352"/>
      <c r="H62" s="352">
        <v>0</v>
      </c>
    </row>
    <row r="63" spans="1:9">
      <c r="A63" s="395" t="s">
        <v>1970</v>
      </c>
      <c r="B63" s="792">
        <v>300100900450000</v>
      </c>
      <c r="C63" s="313" t="s">
        <v>2074</v>
      </c>
      <c r="D63" s="322" t="s">
        <v>1248</v>
      </c>
      <c r="E63" s="328">
        <f t="shared" si="0"/>
        <v>0</v>
      </c>
      <c r="F63" s="347"/>
      <c r="G63" s="347"/>
      <c r="H63" s="328">
        <v>0</v>
      </c>
      <c r="I63" s="210"/>
    </row>
    <row r="64" spans="1:9">
      <c r="A64" s="394" t="s">
        <v>1969</v>
      </c>
      <c r="B64" s="793" t="s">
        <v>505</v>
      </c>
      <c r="C64" s="310" t="s">
        <v>1401</v>
      </c>
      <c r="D64" s="321" t="s">
        <v>1248</v>
      </c>
      <c r="E64" s="352"/>
      <c r="F64" s="352"/>
      <c r="G64" s="352"/>
      <c r="H64" s="352">
        <v>0</v>
      </c>
    </row>
    <row r="65" spans="1:9" ht="24">
      <c r="A65" s="395" t="s">
        <v>1970</v>
      </c>
      <c r="B65" s="792">
        <v>300100900500000</v>
      </c>
      <c r="C65" s="313" t="s">
        <v>2075</v>
      </c>
      <c r="D65" s="322" t="s">
        <v>1248</v>
      </c>
      <c r="E65" s="328">
        <f t="shared" si="0"/>
        <v>0</v>
      </c>
      <c r="F65" s="347"/>
      <c r="G65" s="347"/>
      <c r="H65" s="328">
        <v>0</v>
      </c>
      <c r="I65" s="210"/>
    </row>
    <row r="66" spans="1:9">
      <c r="A66" s="394" t="s">
        <v>1969</v>
      </c>
      <c r="B66" s="793" t="s">
        <v>506</v>
      </c>
      <c r="C66" s="310" t="s">
        <v>1402</v>
      </c>
      <c r="D66" s="321" t="s">
        <v>1248</v>
      </c>
      <c r="E66" s="352"/>
      <c r="F66" s="352"/>
      <c r="G66" s="352"/>
      <c r="H66" s="352">
        <v>0</v>
      </c>
    </row>
    <row r="67" spans="1:9">
      <c r="A67" s="395" t="s">
        <v>1970</v>
      </c>
      <c r="B67" s="792">
        <v>300100900550000</v>
      </c>
      <c r="C67" s="313" t="s">
        <v>2076</v>
      </c>
      <c r="D67" s="322" t="s">
        <v>1248</v>
      </c>
      <c r="E67" s="328">
        <f t="shared" si="0"/>
        <v>0</v>
      </c>
      <c r="F67" s="347"/>
      <c r="G67" s="347"/>
      <c r="H67" s="328">
        <v>0</v>
      </c>
      <c r="I67" s="210"/>
    </row>
    <row r="68" spans="1:9">
      <c r="A68" s="394" t="s">
        <v>1969</v>
      </c>
      <c r="B68" s="793" t="s">
        <v>507</v>
      </c>
      <c r="C68" s="310" t="s">
        <v>1403</v>
      </c>
      <c r="D68" s="321" t="s">
        <v>1248</v>
      </c>
      <c r="E68" s="352"/>
      <c r="F68" s="352"/>
      <c r="G68" s="352"/>
      <c r="H68" s="352">
        <v>0</v>
      </c>
    </row>
    <row r="69" spans="1:9" ht="24">
      <c r="A69" s="395" t="s">
        <v>1970</v>
      </c>
      <c r="B69" s="792">
        <v>300100900600000</v>
      </c>
      <c r="C69" s="313" t="s">
        <v>2077</v>
      </c>
      <c r="D69" s="322" t="s">
        <v>1248</v>
      </c>
      <c r="E69" s="328">
        <f t="shared" si="0"/>
        <v>0</v>
      </c>
      <c r="F69" s="347"/>
      <c r="G69" s="347"/>
      <c r="H69" s="328">
        <v>0</v>
      </c>
      <c r="I69" s="210"/>
    </row>
    <row r="70" spans="1:9">
      <c r="A70" s="394" t="s">
        <v>1969</v>
      </c>
      <c r="B70" s="793" t="s">
        <v>508</v>
      </c>
      <c r="C70" s="310" t="s">
        <v>1404</v>
      </c>
      <c r="D70" s="321" t="s">
        <v>1248</v>
      </c>
      <c r="E70" s="352"/>
      <c r="F70" s="352"/>
      <c r="G70" s="352"/>
      <c r="H70" s="352">
        <v>0</v>
      </c>
    </row>
    <row r="71" spans="1:9">
      <c r="A71" s="395" t="s">
        <v>1970</v>
      </c>
      <c r="B71" s="792">
        <v>300100900900000</v>
      </c>
      <c r="C71" s="313" t="s">
        <v>2078</v>
      </c>
      <c r="D71" s="322" t="s">
        <v>1248</v>
      </c>
      <c r="E71" s="328">
        <f t="shared" ref="E71:E133" si="1">+F71+G71</f>
        <v>0</v>
      </c>
      <c r="F71" s="347"/>
      <c r="G71" s="347"/>
      <c r="H71" s="328">
        <v>0</v>
      </c>
      <c r="I71" s="210"/>
    </row>
    <row r="72" spans="1:9">
      <c r="A72" s="394" t="s">
        <v>1965</v>
      </c>
      <c r="B72" s="793" t="s">
        <v>509</v>
      </c>
      <c r="C72" s="310" t="s">
        <v>2079</v>
      </c>
      <c r="D72" s="321"/>
      <c r="E72" s="352"/>
      <c r="F72" s="352"/>
      <c r="G72" s="352"/>
      <c r="H72" s="352">
        <v>0</v>
      </c>
    </row>
    <row r="73" spans="1:9">
      <c r="A73" s="394" t="s">
        <v>1967</v>
      </c>
      <c r="B73" s="793" t="s">
        <v>511</v>
      </c>
      <c r="C73" s="310" t="s">
        <v>2080</v>
      </c>
      <c r="D73" s="321"/>
      <c r="E73" s="352"/>
      <c r="F73" s="352"/>
      <c r="G73" s="352"/>
      <c r="H73" s="352">
        <v>0</v>
      </c>
    </row>
    <row r="74" spans="1:9">
      <c r="A74" s="395">
        <v>6</v>
      </c>
      <c r="B74" s="792">
        <v>300200100000000</v>
      </c>
      <c r="C74" s="313" t="s">
        <v>510</v>
      </c>
      <c r="D74" s="322"/>
      <c r="E74" s="328">
        <f t="shared" si="1"/>
        <v>102996.76</v>
      </c>
      <c r="F74" s="347">
        <v>102996.76</v>
      </c>
      <c r="G74" s="347"/>
      <c r="H74" s="328">
        <v>91474.57</v>
      </c>
      <c r="I74" s="210"/>
    </row>
    <row r="75" spans="1:9">
      <c r="A75" s="395">
        <v>6</v>
      </c>
      <c r="B75" s="792">
        <v>300200100100000</v>
      </c>
      <c r="C75" s="313" t="s">
        <v>1947</v>
      </c>
      <c r="D75" s="322"/>
      <c r="E75" s="328">
        <f t="shared" si="1"/>
        <v>87.82</v>
      </c>
      <c r="F75" s="347">
        <v>87.82</v>
      </c>
      <c r="G75" s="347"/>
      <c r="H75" s="328">
        <v>26.77</v>
      </c>
      <c r="I75" s="210"/>
    </row>
    <row r="76" spans="1:9" ht="25.5">
      <c r="A76" s="394" t="s">
        <v>1967</v>
      </c>
      <c r="B76" s="793" t="s">
        <v>513</v>
      </c>
      <c r="C76" s="310" t="s">
        <v>2081</v>
      </c>
      <c r="D76" s="321"/>
      <c r="E76" s="352"/>
      <c r="F76" s="352"/>
      <c r="G76" s="352"/>
      <c r="H76" s="352">
        <v>0</v>
      </c>
    </row>
    <row r="77" spans="1:9">
      <c r="A77" s="395" t="s">
        <v>1969</v>
      </c>
      <c r="B77" s="792">
        <v>300200200000000</v>
      </c>
      <c r="C77" s="313" t="s">
        <v>512</v>
      </c>
      <c r="D77" s="322"/>
      <c r="E77" s="328">
        <f t="shared" si="1"/>
        <v>3486515.24</v>
      </c>
      <c r="F77" s="347">
        <v>3486515.24</v>
      </c>
      <c r="G77" s="347"/>
      <c r="H77" s="328">
        <v>4635709.8099999996</v>
      </c>
      <c r="I77" s="210"/>
    </row>
    <row r="78" spans="1:9" ht="24">
      <c r="A78" s="395">
        <v>6</v>
      </c>
      <c r="B78" s="792">
        <v>300200200100000</v>
      </c>
      <c r="C78" s="313" t="s">
        <v>1948</v>
      </c>
      <c r="D78" s="322"/>
      <c r="E78" s="328">
        <f t="shared" si="1"/>
        <v>749.31</v>
      </c>
      <c r="F78" s="347">
        <v>749.31</v>
      </c>
      <c r="G78" s="347"/>
      <c r="H78" s="328">
        <v>410.6</v>
      </c>
      <c r="I78" s="210"/>
    </row>
    <row r="79" spans="1:9">
      <c r="A79" s="394" t="s">
        <v>1967</v>
      </c>
      <c r="B79" s="793" t="s">
        <v>515</v>
      </c>
      <c r="C79" s="310" t="s">
        <v>2082</v>
      </c>
      <c r="D79" s="321"/>
      <c r="E79" s="352"/>
      <c r="F79" s="352"/>
      <c r="G79" s="352"/>
      <c r="H79" s="352">
        <v>0</v>
      </c>
    </row>
    <row r="80" spans="1:9">
      <c r="A80" s="395" t="s">
        <v>1969</v>
      </c>
      <c r="B80" s="792">
        <v>300200300000000</v>
      </c>
      <c r="C80" s="313" t="s">
        <v>514</v>
      </c>
      <c r="D80" s="322"/>
      <c r="E80" s="328">
        <f t="shared" si="1"/>
        <v>5852.28</v>
      </c>
      <c r="F80" s="347">
        <v>5852.28</v>
      </c>
      <c r="G80" s="347"/>
      <c r="H80" s="328">
        <v>6092.42</v>
      </c>
      <c r="I80" s="210"/>
    </row>
    <row r="81" spans="1:9" ht="24">
      <c r="A81" s="395">
        <v>6</v>
      </c>
      <c r="B81" s="792">
        <v>300200300100000</v>
      </c>
      <c r="C81" s="313" t="s">
        <v>1949</v>
      </c>
      <c r="D81" s="322"/>
      <c r="E81" s="328">
        <f t="shared" si="1"/>
        <v>0</v>
      </c>
      <c r="F81" s="347"/>
      <c r="G81" s="347"/>
      <c r="H81" s="328">
        <v>0</v>
      </c>
      <c r="I81" s="210"/>
    </row>
    <row r="82" spans="1:9">
      <c r="A82" s="394" t="s">
        <v>1967</v>
      </c>
      <c r="B82" s="793" t="s">
        <v>516</v>
      </c>
      <c r="C82" s="310" t="s">
        <v>2083</v>
      </c>
      <c r="D82" s="321"/>
      <c r="E82" s="352"/>
      <c r="F82" s="352"/>
      <c r="G82" s="352"/>
      <c r="H82" s="352">
        <v>0</v>
      </c>
    </row>
    <row r="83" spans="1:9">
      <c r="A83" s="395">
        <v>6</v>
      </c>
      <c r="B83" s="792">
        <v>300200400100000</v>
      </c>
      <c r="C83" s="313" t="s">
        <v>517</v>
      </c>
      <c r="D83" s="322"/>
      <c r="E83" s="328">
        <f t="shared" si="1"/>
        <v>1526675.13</v>
      </c>
      <c r="F83" s="347">
        <v>1526675.13</v>
      </c>
      <c r="G83" s="347"/>
      <c r="H83" s="328">
        <v>1522542.18</v>
      </c>
      <c r="I83" s="210"/>
    </row>
    <row r="84" spans="1:9">
      <c r="A84" s="395">
        <v>6</v>
      </c>
      <c r="B84" s="792">
        <v>300200400200000</v>
      </c>
      <c r="C84" s="313" t="s">
        <v>518</v>
      </c>
      <c r="D84" s="322"/>
      <c r="E84" s="328">
        <f t="shared" si="1"/>
        <v>1187767.7</v>
      </c>
      <c r="F84" s="347">
        <v>1187767.7</v>
      </c>
      <c r="G84" s="347"/>
      <c r="H84" s="328">
        <v>1039322.9</v>
      </c>
      <c r="I84" s="210"/>
    </row>
    <row r="85" spans="1:9">
      <c r="A85" s="395">
        <v>6</v>
      </c>
      <c r="B85" s="792">
        <v>300200400300000</v>
      </c>
      <c r="C85" s="313" t="s">
        <v>519</v>
      </c>
      <c r="D85" s="322"/>
      <c r="E85" s="328">
        <f t="shared" si="1"/>
        <v>284</v>
      </c>
      <c r="F85" s="347">
        <v>284</v>
      </c>
      <c r="G85" s="347"/>
      <c r="H85" s="328">
        <v>4185.3999999999996</v>
      </c>
      <c r="I85" s="210"/>
    </row>
    <row r="86" spans="1:9" ht="24">
      <c r="A86" s="395">
        <v>6</v>
      </c>
      <c r="B86" s="792">
        <v>300200400400000</v>
      </c>
      <c r="C86" s="313" t="s">
        <v>1950</v>
      </c>
      <c r="D86" s="322"/>
      <c r="E86" s="328">
        <f t="shared" si="1"/>
        <v>1490.68</v>
      </c>
      <c r="F86" s="347">
        <v>1490.68</v>
      </c>
      <c r="G86" s="347"/>
      <c r="H86" s="328">
        <v>1073.45</v>
      </c>
      <c r="I86" s="210"/>
    </row>
    <row r="87" spans="1:9">
      <c r="A87" s="394" t="s">
        <v>1967</v>
      </c>
      <c r="B87" s="793" t="s">
        <v>520</v>
      </c>
      <c r="C87" s="310" t="s">
        <v>2084</v>
      </c>
      <c r="D87" s="321"/>
      <c r="E87" s="352"/>
      <c r="F87" s="352"/>
      <c r="G87" s="352"/>
      <c r="H87" s="352">
        <v>0</v>
      </c>
    </row>
    <row r="88" spans="1:9">
      <c r="A88" s="395">
        <v>6</v>
      </c>
      <c r="B88" s="792">
        <v>300200500100000</v>
      </c>
      <c r="C88" s="313" t="s">
        <v>521</v>
      </c>
      <c r="D88" s="322"/>
      <c r="E88" s="328">
        <f t="shared" si="1"/>
        <v>32859.410000000003</v>
      </c>
      <c r="F88" s="347">
        <v>32859.410000000003</v>
      </c>
      <c r="G88" s="347"/>
      <c r="H88" s="328">
        <v>2323.5</v>
      </c>
      <c r="I88" s="210"/>
    </row>
    <row r="89" spans="1:9">
      <c r="A89" s="395">
        <v>6</v>
      </c>
      <c r="B89" s="792">
        <v>300200500200000</v>
      </c>
      <c r="C89" s="313" t="s">
        <v>522</v>
      </c>
      <c r="D89" s="322"/>
      <c r="E89" s="328">
        <f t="shared" si="1"/>
        <v>3605.38</v>
      </c>
      <c r="F89" s="347">
        <v>3605.38</v>
      </c>
      <c r="G89" s="347"/>
      <c r="H89" s="328">
        <v>1367.43</v>
      </c>
      <c r="I89" s="210"/>
    </row>
    <row r="90" spans="1:9" ht="24">
      <c r="A90" s="395">
        <v>6</v>
      </c>
      <c r="B90" s="792">
        <v>300200500300000</v>
      </c>
      <c r="C90" s="313" t="s">
        <v>1951</v>
      </c>
      <c r="D90" s="322"/>
      <c r="E90" s="328">
        <f t="shared" si="1"/>
        <v>0</v>
      </c>
      <c r="F90" s="347"/>
      <c r="G90" s="347"/>
      <c r="H90" s="328">
        <v>0</v>
      </c>
      <c r="I90" s="210"/>
    </row>
    <row r="91" spans="1:9">
      <c r="A91" s="394" t="s">
        <v>1967</v>
      </c>
      <c r="B91" s="793" t="s">
        <v>524</v>
      </c>
      <c r="C91" s="310" t="s">
        <v>2085</v>
      </c>
      <c r="D91" s="321"/>
      <c r="E91" s="352"/>
      <c r="F91" s="352"/>
      <c r="G91" s="352"/>
      <c r="H91" s="352">
        <v>0</v>
      </c>
    </row>
    <row r="92" spans="1:9">
      <c r="A92" s="395" t="s">
        <v>1969</v>
      </c>
      <c r="B92" s="792">
        <v>300200600000000</v>
      </c>
      <c r="C92" s="313" t="s">
        <v>523</v>
      </c>
      <c r="D92" s="322"/>
      <c r="E92" s="328">
        <f t="shared" si="1"/>
        <v>68097.98</v>
      </c>
      <c r="F92" s="347">
        <v>68097.98</v>
      </c>
      <c r="G92" s="347"/>
      <c r="H92" s="328">
        <v>67144.47</v>
      </c>
      <c r="I92" s="210"/>
    </row>
    <row r="93" spans="1:9" ht="24">
      <c r="A93" s="395">
        <v>6</v>
      </c>
      <c r="B93" s="792">
        <v>300200600100000</v>
      </c>
      <c r="C93" s="313" t="s">
        <v>1952</v>
      </c>
      <c r="D93" s="322"/>
      <c r="E93" s="328">
        <f t="shared" si="1"/>
        <v>9.7200000000000006</v>
      </c>
      <c r="F93" s="347">
        <v>9.7200000000000006</v>
      </c>
      <c r="G93" s="347"/>
      <c r="H93" s="328">
        <v>3.6</v>
      </c>
      <c r="I93" s="210"/>
    </row>
    <row r="94" spans="1:9" ht="25.5">
      <c r="A94" s="394" t="s">
        <v>1967</v>
      </c>
      <c r="B94" s="793" t="s">
        <v>525</v>
      </c>
      <c r="C94" s="310" t="s">
        <v>2086</v>
      </c>
      <c r="D94" s="321" t="s">
        <v>1248</v>
      </c>
      <c r="E94" s="352"/>
      <c r="F94" s="352"/>
      <c r="G94" s="352"/>
      <c r="H94" s="352">
        <v>0</v>
      </c>
    </row>
    <row r="95" spans="1:9">
      <c r="A95" s="395">
        <v>6</v>
      </c>
      <c r="B95" s="792">
        <v>300200700100000</v>
      </c>
      <c r="C95" s="313" t="s">
        <v>2087</v>
      </c>
      <c r="D95" s="322" t="s">
        <v>1248</v>
      </c>
      <c r="E95" s="328">
        <f t="shared" si="1"/>
        <v>0</v>
      </c>
      <c r="F95" s="347"/>
      <c r="G95" s="347"/>
      <c r="H95" s="328">
        <v>0</v>
      </c>
      <c r="I95" s="210"/>
    </row>
    <row r="96" spans="1:9" ht="24">
      <c r="A96" s="395">
        <v>6</v>
      </c>
      <c r="B96" s="792">
        <v>300200700200000</v>
      </c>
      <c r="C96" s="313" t="s">
        <v>2088</v>
      </c>
      <c r="D96" s="322" t="s">
        <v>1248</v>
      </c>
      <c r="E96" s="328">
        <f t="shared" si="1"/>
        <v>0</v>
      </c>
      <c r="F96" s="347"/>
      <c r="G96" s="347"/>
      <c r="H96" s="328">
        <v>0</v>
      </c>
      <c r="I96" s="210"/>
    </row>
    <row r="97" spans="1:9" ht="24">
      <c r="A97" s="395">
        <v>6</v>
      </c>
      <c r="B97" s="792">
        <v>300200700300000</v>
      </c>
      <c r="C97" s="313" t="s">
        <v>2089</v>
      </c>
      <c r="D97" s="322" t="s">
        <v>1248</v>
      </c>
      <c r="E97" s="328">
        <f t="shared" si="1"/>
        <v>0</v>
      </c>
      <c r="F97" s="347"/>
      <c r="G97" s="347"/>
      <c r="H97" s="328">
        <v>0</v>
      </c>
      <c r="I97" s="210"/>
    </row>
    <row r="98" spans="1:9" ht="24">
      <c r="A98" s="395">
        <v>6</v>
      </c>
      <c r="B98" s="792">
        <v>300200700400000</v>
      </c>
      <c r="C98" s="313" t="s">
        <v>2090</v>
      </c>
      <c r="D98" s="322" t="s">
        <v>1248</v>
      </c>
      <c r="E98" s="328">
        <f t="shared" si="1"/>
        <v>0</v>
      </c>
      <c r="F98" s="347"/>
      <c r="G98" s="347"/>
      <c r="H98" s="328">
        <v>0</v>
      </c>
      <c r="I98" s="210"/>
    </row>
    <row r="99" spans="1:9" ht="24">
      <c r="A99" s="395">
        <v>6</v>
      </c>
      <c r="B99" s="792">
        <v>300200700500000</v>
      </c>
      <c r="C99" s="313" t="s">
        <v>2091</v>
      </c>
      <c r="D99" s="322" t="s">
        <v>1248</v>
      </c>
      <c r="E99" s="328">
        <f t="shared" si="1"/>
        <v>0</v>
      </c>
      <c r="F99" s="347"/>
      <c r="G99" s="347"/>
      <c r="H99" s="328">
        <v>0</v>
      </c>
      <c r="I99" s="210"/>
    </row>
    <row r="100" spans="1:9" ht="24">
      <c r="A100" s="395">
        <v>6</v>
      </c>
      <c r="B100" s="792">
        <v>300200700900000</v>
      </c>
      <c r="C100" s="313" t="s">
        <v>2092</v>
      </c>
      <c r="D100" s="322" t="s">
        <v>1248</v>
      </c>
      <c r="E100" s="328">
        <f t="shared" si="1"/>
        <v>0</v>
      </c>
      <c r="F100" s="347"/>
      <c r="G100" s="347"/>
      <c r="H100" s="328">
        <v>0</v>
      </c>
      <c r="I100" s="210"/>
    </row>
    <row r="101" spans="1:9">
      <c r="A101" s="394" t="s">
        <v>1963</v>
      </c>
      <c r="B101" s="793" t="s">
        <v>526</v>
      </c>
      <c r="C101" s="310" t="s">
        <v>2093</v>
      </c>
      <c r="D101" s="321"/>
      <c r="E101" s="352"/>
      <c r="F101" s="352"/>
      <c r="G101" s="352"/>
      <c r="H101" s="352">
        <v>0</v>
      </c>
    </row>
    <row r="102" spans="1:9">
      <c r="A102" s="394" t="s">
        <v>1965</v>
      </c>
      <c r="B102" s="793" t="s">
        <v>527</v>
      </c>
      <c r="C102" s="310" t="s">
        <v>2094</v>
      </c>
      <c r="D102" s="321"/>
      <c r="E102" s="352"/>
      <c r="F102" s="352"/>
      <c r="G102" s="352"/>
      <c r="H102" s="352">
        <v>0</v>
      </c>
    </row>
    <row r="103" spans="1:9">
      <c r="A103" s="394" t="s">
        <v>1967</v>
      </c>
      <c r="B103" s="793" t="s">
        <v>528</v>
      </c>
      <c r="C103" s="310" t="s">
        <v>2095</v>
      </c>
      <c r="D103" s="321"/>
      <c r="E103" s="352"/>
      <c r="F103" s="352"/>
      <c r="G103" s="352"/>
      <c r="H103" s="352">
        <v>0</v>
      </c>
    </row>
    <row r="104" spans="1:9">
      <c r="A104" s="394" t="s">
        <v>1969</v>
      </c>
      <c r="B104" s="793" t="s">
        <v>529</v>
      </c>
      <c r="C104" s="310" t="s">
        <v>1416</v>
      </c>
      <c r="D104" s="321"/>
      <c r="E104" s="352"/>
      <c r="F104" s="352"/>
      <c r="G104" s="352"/>
      <c r="H104" s="352">
        <v>0</v>
      </c>
    </row>
    <row r="105" spans="1:9">
      <c r="A105" s="394" t="s">
        <v>1970</v>
      </c>
      <c r="B105" s="793" t="s">
        <v>530</v>
      </c>
      <c r="C105" s="310" t="s">
        <v>1417</v>
      </c>
      <c r="D105" s="321"/>
      <c r="E105" s="352"/>
      <c r="F105" s="352"/>
      <c r="G105" s="352"/>
      <c r="H105" s="352">
        <v>0</v>
      </c>
    </row>
    <row r="106" spans="1:9">
      <c r="A106" s="395">
        <v>8</v>
      </c>
      <c r="B106" s="792">
        <v>305100050101005</v>
      </c>
      <c r="C106" s="313" t="s">
        <v>2096</v>
      </c>
      <c r="D106" s="322"/>
      <c r="E106" s="328">
        <f t="shared" si="1"/>
        <v>0</v>
      </c>
      <c r="F106" s="347"/>
      <c r="G106" s="347"/>
      <c r="H106" s="328">
        <v>0</v>
      </c>
      <c r="I106" s="210"/>
    </row>
    <row r="107" spans="1:9">
      <c r="A107" s="395">
        <v>8</v>
      </c>
      <c r="B107" s="792">
        <v>305100050101010</v>
      </c>
      <c r="C107" s="313" t="s">
        <v>2097</v>
      </c>
      <c r="D107" s="322"/>
      <c r="E107" s="328">
        <f t="shared" si="1"/>
        <v>0</v>
      </c>
      <c r="F107" s="347"/>
      <c r="G107" s="347"/>
      <c r="H107" s="328">
        <v>0</v>
      </c>
      <c r="I107" s="210"/>
    </row>
    <row r="108" spans="1:9">
      <c r="A108" s="395">
        <v>8</v>
      </c>
      <c r="B108" s="792">
        <v>305100050101015</v>
      </c>
      <c r="C108" s="313" t="s">
        <v>2098</v>
      </c>
      <c r="D108" s="322"/>
      <c r="E108" s="328">
        <f t="shared" si="1"/>
        <v>0</v>
      </c>
      <c r="F108" s="347"/>
      <c r="G108" s="347"/>
      <c r="H108" s="328">
        <v>0</v>
      </c>
      <c r="I108" s="210"/>
    </row>
    <row r="109" spans="1:9">
      <c r="A109" s="395">
        <v>8</v>
      </c>
      <c r="B109" s="792">
        <v>305100050101020</v>
      </c>
      <c r="C109" s="313" t="s">
        <v>2099</v>
      </c>
      <c r="D109" s="322"/>
      <c r="E109" s="328">
        <f t="shared" si="1"/>
        <v>0</v>
      </c>
      <c r="F109" s="347"/>
      <c r="G109" s="347"/>
      <c r="H109" s="328">
        <v>0</v>
      </c>
      <c r="I109" s="210"/>
    </row>
    <row r="110" spans="1:9">
      <c r="A110" s="395">
        <v>8</v>
      </c>
      <c r="B110" s="792">
        <v>305100050101025</v>
      </c>
      <c r="C110" s="313" t="s">
        <v>2100</v>
      </c>
      <c r="D110" s="322"/>
      <c r="E110" s="328">
        <f t="shared" si="1"/>
        <v>0</v>
      </c>
      <c r="F110" s="347"/>
      <c r="G110" s="347"/>
      <c r="H110" s="328">
        <v>0</v>
      </c>
      <c r="I110" s="210"/>
    </row>
    <row r="111" spans="1:9">
      <c r="A111" s="395">
        <v>8</v>
      </c>
      <c r="B111" s="792">
        <v>305100050101030</v>
      </c>
      <c r="C111" s="313" t="s">
        <v>2101</v>
      </c>
      <c r="D111" s="322"/>
      <c r="E111" s="328">
        <f t="shared" si="1"/>
        <v>0</v>
      </c>
      <c r="F111" s="347"/>
      <c r="G111" s="347"/>
      <c r="H111" s="328">
        <v>0</v>
      </c>
      <c r="I111" s="210"/>
    </row>
    <row r="112" spans="1:9">
      <c r="A112" s="395">
        <v>8</v>
      </c>
      <c r="B112" s="792">
        <v>305100050101035</v>
      </c>
      <c r="C112" s="313" t="s">
        <v>2102</v>
      </c>
      <c r="D112" s="322"/>
      <c r="E112" s="328">
        <f t="shared" si="1"/>
        <v>0</v>
      </c>
      <c r="F112" s="347"/>
      <c r="G112" s="347"/>
      <c r="H112" s="328">
        <v>0</v>
      </c>
      <c r="I112" s="210"/>
    </row>
    <row r="113" spans="1:9">
      <c r="A113" s="395">
        <v>8</v>
      </c>
      <c r="B113" s="792">
        <v>305100050101040</v>
      </c>
      <c r="C113" s="313" t="s">
        <v>2103</v>
      </c>
      <c r="D113" s="322"/>
      <c r="E113" s="328">
        <f t="shared" si="1"/>
        <v>0</v>
      </c>
      <c r="F113" s="347"/>
      <c r="G113" s="347"/>
      <c r="H113" s="328">
        <v>0</v>
      </c>
      <c r="I113" s="210"/>
    </row>
    <row r="114" spans="1:9">
      <c r="A114" s="395">
        <v>8</v>
      </c>
      <c r="B114" s="792">
        <v>305100050101045</v>
      </c>
      <c r="C114" s="313" t="s">
        <v>2104</v>
      </c>
      <c r="D114" s="322"/>
      <c r="E114" s="328">
        <f t="shared" si="1"/>
        <v>0</v>
      </c>
      <c r="F114" s="347"/>
      <c r="G114" s="347"/>
      <c r="H114" s="328">
        <v>0</v>
      </c>
      <c r="I114" s="210"/>
    </row>
    <row r="115" spans="1:9">
      <c r="A115" s="395">
        <v>8</v>
      </c>
      <c r="B115" s="792">
        <v>305100050101050</v>
      </c>
      <c r="C115" s="313" t="s">
        <v>2105</v>
      </c>
      <c r="D115" s="322"/>
      <c r="E115" s="328">
        <f t="shared" si="1"/>
        <v>0</v>
      </c>
      <c r="F115" s="347"/>
      <c r="G115" s="347"/>
      <c r="H115" s="328">
        <v>0</v>
      </c>
      <c r="I115" s="210"/>
    </row>
    <row r="116" spans="1:9">
      <c r="A116" s="395">
        <v>8</v>
      </c>
      <c r="B116" s="792">
        <v>305100050101055</v>
      </c>
      <c r="C116" s="313" t="s">
        <v>2106</v>
      </c>
      <c r="D116" s="322"/>
      <c r="E116" s="328">
        <f t="shared" si="1"/>
        <v>0</v>
      </c>
      <c r="F116" s="347"/>
      <c r="G116" s="347"/>
      <c r="H116" s="328">
        <v>0</v>
      </c>
      <c r="I116" s="210"/>
    </row>
    <row r="117" spans="1:9">
      <c r="A117" s="394" t="s">
        <v>1970</v>
      </c>
      <c r="B117" s="793" t="s">
        <v>531</v>
      </c>
      <c r="C117" s="310" t="s">
        <v>1418</v>
      </c>
      <c r="D117" s="321"/>
      <c r="E117" s="352"/>
      <c r="F117" s="352"/>
      <c r="G117" s="352"/>
      <c r="H117" s="352">
        <v>0</v>
      </c>
    </row>
    <row r="118" spans="1:9">
      <c r="A118" s="395">
        <v>8</v>
      </c>
      <c r="B118" s="792">
        <v>305100050102005</v>
      </c>
      <c r="C118" s="313" t="s">
        <v>2107</v>
      </c>
      <c r="D118" s="322"/>
      <c r="E118" s="328">
        <f t="shared" si="1"/>
        <v>0</v>
      </c>
      <c r="F118" s="347"/>
      <c r="G118" s="347"/>
      <c r="H118" s="328">
        <v>0</v>
      </c>
      <c r="I118" s="210"/>
    </row>
    <row r="119" spans="1:9">
      <c r="A119" s="395">
        <v>8</v>
      </c>
      <c r="B119" s="792">
        <v>305100050102010</v>
      </c>
      <c r="C119" s="313" t="s">
        <v>2108</v>
      </c>
      <c r="D119" s="322"/>
      <c r="E119" s="328">
        <f t="shared" si="1"/>
        <v>0</v>
      </c>
      <c r="F119" s="347"/>
      <c r="G119" s="347"/>
      <c r="H119" s="328">
        <v>0</v>
      </c>
      <c r="I119" s="210"/>
    </row>
    <row r="120" spans="1:9">
      <c r="A120" s="395">
        <v>8</v>
      </c>
      <c r="B120" s="792">
        <v>305100050102015</v>
      </c>
      <c r="C120" s="313" t="s">
        <v>2109</v>
      </c>
      <c r="D120" s="322"/>
      <c r="E120" s="328">
        <f t="shared" si="1"/>
        <v>0</v>
      </c>
      <c r="F120" s="347"/>
      <c r="G120" s="347"/>
      <c r="H120" s="328">
        <v>0</v>
      </c>
      <c r="I120" s="210"/>
    </row>
    <row r="121" spans="1:9">
      <c r="A121" s="395">
        <v>8</v>
      </c>
      <c r="B121" s="792">
        <v>305100050102020</v>
      </c>
      <c r="C121" s="313" t="s">
        <v>2110</v>
      </c>
      <c r="D121" s="322"/>
      <c r="E121" s="328">
        <f t="shared" si="1"/>
        <v>0</v>
      </c>
      <c r="F121" s="347"/>
      <c r="G121" s="347"/>
      <c r="H121" s="328">
        <v>0</v>
      </c>
      <c r="I121" s="210"/>
    </row>
    <row r="122" spans="1:9">
      <c r="A122" s="395">
        <v>8</v>
      </c>
      <c r="B122" s="792">
        <v>305100050102025</v>
      </c>
      <c r="C122" s="313" t="s">
        <v>2111</v>
      </c>
      <c r="D122" s="322"/>
      <c r="E122" s="328">
        <f t="shared" si="1"/>
        <v>0</v>
      </c>
      <c r="F122" s="347"/>
      <c r="G122" s="347"/>
      <c r="H122" s="328">
        <v>0</v>
      </c>
      <c r="I122" s="210"/>
    </row>
    <row r="123" spans="1:9">
      <c r="A123" s="395">
        <v>8</v>
      </c>
      <c r="B123" s="792">
        <v>305100050102030</v>
      </c>
      <c r="C123" s="313" t="s">
        <v>2112</v>
      </c>
      <c r="D123" s="322"/>
      <c r="E123" s="328">
        <f t="shared" si="1"/>
        <v>0</v>
      </c>
      <c r="F123" s="347"/>
      <c r="G123" s="347"/>
      <c r="H123" s="328">
        <v>0</v>
      </c>
      <c r="I123" s="210"/>
    </row>
    <row r="124" spans="1:9">
      <c r="A124" s="395">
        <v>8</v>
      </c>
      <c r="B124" s="792">
        <v>305100050102035</v>
      </c>
      <c r="C124" s="313" t="s">
        <v>2113</v>
      </c>
      <c r="D124" s="322"/>
      <c r="E124" s="328">
        <f t="shared" si="1"/>
        <v>0</v>
      </c>
      <c r="F124" s="347"/>
      <c r="G124" s="347"/>
      <c r="H124" s="328">
        <v>0</v>
      </c>
      <c r="I124" s="210"/>
    </row>
    <row r="125" spans="1:9">
      <c r="A125" s="395">
        <v>8</v>
      </c>
      <c r="B125" s="792">
        <v>305100050102040</v>
      </c>
      <c r="C125" s="313" t="s">
        <v>2114</v>
      </c>
      <c r="D125" s="322"/>
      <c r="E125" s="328">
        <f t="shared" si="1"/>
        <v>0</v>
      </c>
      <c r="F125" s="347"/>
      <c r="G125" s="347"/>
      <c r="H125" s="328">
        <v>0</v>
      </c>
      <c r="I125" s="210"/>
    </row>
    <row r="126" spans="1:9">
      <c r="A126" s="395">
        <v>8</v>
      </c>
      <c r="B126" s="792">
        <v>305100050102045</v>
      </c>
      <c r="C126" s="313" t="s">
        <v>2115</v>
      </c>
      <c r="D126" s="322"/>
      <c r="E126" s="328">
        <f t="shared" si="1"/>
        <v>0</v>
      </c>
      <c r="F126" s="347"/>
      <c r="G126" s="347"/>
      <c r="H126" s="328">
        <v>0</v>
      </c>
      <c r="I126" s="210"/>
    </row>
    <row r="127" spans="1:9">
      <c r="A127" s="395">
        <v>8</v>
      </c>
      <c r="B127" s="792">
        <v>305100050102050</v>
      </c>
      <c r="C127" s="313" t="s">
        <v>2116</v>
      </c>
      <c r="D127" s="322"/>
      <c r="E127" s="328">
        <f t="shared" si="1"/>
        <v>0</v>
      </c>
      <c r="F127" s="347"/>
      <c r="G127" s="347"/>
      <c r="H127" s="328">
        <v>0</v>
      </c>
      <c r="I127" s="210"/>
    </row>
    <row r="128" spans="1:9">
      <c r="A128" s="395">
        <v>8</v>
      </c>
      <c r="B128" s="792">
        <v>305100050102055</v>
      </c>
      <c r="C128" s="313" t="s">
        <v>2117</v>
      </c>
      <c r="D128" s="322"/>
      <c r="E128" s="328">
        <f t="shared" si="1"/>
        <v>0</v>
      </c>
      <c r="F128" s="347"/>
      <c r="G128" s="347"/>
      <c r="H128" s="328">
        <v>0</v>
      </c>
      <c r="I128" s="210"/>
    </row>
    <row r="129" spans="1:9">
      <c r="A129" s="394" t="s">
        <v>1970</v>
      </c>
      <c r="B129" s="793" t="s">
        <v>532</v>
      </c>
      <c r="C129" s="310" t="s">
        <v>1419</v>
      </c>
      <c r="D129" s="321"/>
      <c r="E129" s="352"/>
      <c r="F129" s="352"/>
      <c r="G129" s="352"/>
      <c r="H129" s="352">
        <v>0</v>
      </c>
    </row>
    <row r="130" spans="1:9" ht="24">
      <c r="A130" s="395">
        <v>8</v>
      </c>
      <c r="B130" s="792">
        <v>305100050103005</v>
      </c>
      <c r="C130" s="313" t="s">
        <v>533</v>
      </c>
      <c r="D130" s="322"/>
      <c r="E130" s="328">
        <f t="shared" si="1"/>
        <v>0</v>
      </c>
      <c r="F130" s="347"/>
      <c r="G130" s="347"/>
      <c r="H130" s="328">
        <v>0</v>
      </c>
      <c r="I130" s="210"/>
    </row>
    <row r="131" spans="1:9">
      <c r="A131" s="395">
        <v>8</v>
      </c>
      <c r="B131" s="792">
        <v>305100050103010</v>
      </c>
      <c r="C131" s="313" t="s">
        <v>534</v>
      </c>
      <c r="D131" s="322"/>
      <c r="E131" s="328">
        <f t="shared" si="1"/>
        <v>0</v>
      </c>
      <c r="F131" s="347"/>
      <c r="G131" s="347"/>
      <c r="H131" s="328">
        <v>0</v>
      </c>
      <c r="I131" s="210"/>
    </row>
    <row r="132" spans="1:9">
      <c r="A132" s="395">
        <v>8</v>
      </c>
      <c r="B132" s="792">
        <v>305100050103015</v>
      </c>
      <c r="C132" s="313" t="s">
        <v>535</v>
      </c>
      <c r="D132" s="322"/>
      <c r="E132" s="328">
        <f t="shared" si="1"/>
        <v>0</v>
      </c>
      <c r="F132" s="347"/>
      <c r="G132" s="347"/>
      <c r="H132" s="328">
        <v>0</v>
      </c>
      <c r="I132" s="210"/>
    </row>
    <row r="133" spans="1:9" ht="24">
      <c r="A133" s="395">
        <v>8</v>
      </c>
      <c r="B133" s="792">
        <v>305100050103020</v>
      </c>
      <c r="C133" s="313" t="s">
        <v>536</v>
      </c>
      <c r="D133" s="322"/>
      <c r="E133" s="328">
        <f t="shared" si="1"/>
        <v>0</v>
      </c>
      <c r="F133" s="347"/>
      <c r="G133" s="347"/>
      <c r="H133" s="328">
        <v>0</v>
      </c>
      <c r="I133" s="210"/>
    </row>
    <row r="134" spans="1:9" ht="24">
      <c r="A134" s="395">
        <v>8</v>
      </c>
      <c r="B134" s="792">
        <v>305100050103025</v>
      </c>
      <c r="C134" s="313" t="s">
        <v>537</v>
      </c>
      <c r="D134" s="322"/>
      <c r="E134" s="328">
        <f t="shared" ref="E134:E197" si="2">+F134+G134</f>
        <v>0</v>
      </c>
      <c r="F134" s="347"/>
      <c r="G134" s="347"/>
      <c r="H134" s="328">
        <v>0</v>
      </c>
      <c r="I134" s="210"/>
    </row>
    <row r="135" spans="1:9" ht="24">
      <c r="A135" s="395">
        <v>8</v>
      </c>
      <c r="B135" s="792">
        <v>305100050103030</v>
      </c>
      <c r="C135" s="313" t="s">
        <v>538</v>
      </c>
      <c r="D135" s="322"/>
      <c r="E135" s="328">
        <f t="shared" si="2"/>
        <v>0</v>
      </c>
      <c r="F135" s="347"/>
      <c r="G135" s="347"/>
      <c r="H135" s="328">
        <v>0</v>
      </c>
      <c r="I135" s="210"/>
    </row>
    <row r="136" spans="1:9" ht="24">
      <c r="A136" s="395">
        <v>8</v>
      </c>
      <c r="B136" s="792">
        <v>305100050103035</v>
      </c>
      <c r="C136" s="313" t="s">
        <v>539</v>
      </c>
      <c r="D136" s="322"/>
      <c r="E136" s="328">
        <f t="shared" si="2"/>
        <v>0</v>
      </c>
      <c r="F136" s="347"/>
      <c r="G136" s="347"/>
      <c r="H136" s="328">
        <v>0</v>
      </c>
      <c r="I136" s="210"/>
    </row>
    <row r="137" spans="1:9">
      <c r="A137" s="395">
        <v>8</v>
      </c>
      <c r="B137" s="792">
        <v>305100050103040</v>
      </c>
      <c r="C137" s="313" t="s">
        <v>2118</v>
      </c>
      <c r="D137" s="322"/>
      <c r="E137" s="328">
        <f t="shared" si="2"/>
        <v>0</v>
      </c>
      <c r="F137" s="347"/>
      <c r="G137" s="347"/>
      <c r="H137" s="328">
        <v>0</v>
      </c>
      <c r="I137" s="210"/>
    </row>
    <row r="138" spans="1:9" ht="24">
      <c r="A138" s="395">
        <v>8</v>
      </c>
      <c r="B138" s="792">
        <v>305100050103045</v>
      </c>
      <c r="C138" s="313" t="s">
        <v>540</v>
      </c>
      <c r="D138" s="322"/>
      <c r="E138" s="328">
        <f t="shared" si="2"/>
        <v>0</v>
      </c>
      <c r="F138" s="347"/>
      <c r="G138" s="347"/>
      <c r="H138" s="328">
        <v>0</v>
      </c>
      <c r="I138" s="210"/>
    </row>
    <row r="139" spans="1:9" ht="24">
      <c r="A139" s="395">
        <v>8</v>
      </c>
      <c r="B139" s="792">
        <v>305100050103050</v>
      </c>
      <c r="C139" s="313" t="s">
        <v>541</v>
      </c>
      <c r="D139" s="322"/>
      <c r="E139" s="328">
        <f t="shared" si="2"/>
        <v>0</v>
      </c>
      <c r="F139" s="347"/>
      <c r="G139" s="347"/>
      <c r="H139" s="328">
        <v>0</v>
      </c>
      <c r="I139" s="210"/>
    </row>
    <row r="140" spans="1:9" ht="24">
      <c r="A140" s="395">
        <v>8</v>
      </c>
      <c r="B140" s="792">
        <v>305100050103055</v>
      </c>
      <c r="C140" s="313" t="s">
        <v>542</v>
      </c>
      <c r="D140" s="322"/>
      <c r="E140" s="328">
        <f t="shared" si="2"/>
        <v>0</v>
      </c>
      <c r="F140" s="347"/>
      <c r="G140" s="347"/>
      <c r="H140" s="328">
        <v>0</v>
      </c>
      <c r="I140" s="210"/>
    </row>
    <row r="141" spans="1:9">
      <c r="A141" s="395">
        <v>8</v>
      </c>
      <c r="B141" s="792">
        <v>305100050103060</v>
      </c>
      <c r="C141" s="313" t="s">
        <v>543</v>
      </c>
      <c r="D141" s="322"/>
      <c r="E141" s="328">
        <f t="shared" si="2"/>
        <v>0</v>
      </c>
      <c r="F141" s="347"/>
      <c r="G141" s="347"/>
      <c r="H141" s="328">
        <v>0</v>
      </c>
      <c r="I141" s="210"/>
    </row>
    <row r="142" spans="1:9">
      <c r="A142" s="395">
        <v>8</v>
      </c>
      <c r="B142" s="792">
        <v>305100050103065</v>
      </c>
      <c r="C142" s="313" t="s">
        <v>544</v>
      </c>
      <c r="D142" s="322"/>
      <c r="E142" s="328">
        <f t="shared" si="2"/>
        <v>0</v>
      </c>
      <c r="F142" s="347"/>
      <c r="G142" s="347"/>
      <c r="H142" s="328">
        <v>0</v>
      </c>
      <c r="I142" s="210"/>
    </row>
    <row r="143" spans="1:9">
      <c r="A143" s="395">
        <v>8</v>
      </c>
      <c r="B143" s="792">
        <v>305100050103070</v>
      </c>
      <c r="C143" s="313" t="s">
        <v>545</v>
      </c>
      <c r="D143" s="322"/>
      <c r="E143" s="328">
        <f t="shared" si="2"/>
        <v>0</v>
      </c>
      <c r="F143" s="347"/>
      <c r="G143" s="347"/>
      <c r="H143" s="328">
        <v>0</v>
      </c>
      <c r="I143" s="210"/>
    </row>
    <row r="144" spans="1:9" ht="25.5">
      <c r="A144" s="394" t="s">
        <v>1970</v>
      </c>
      <c r="B144" s="793" t="s">
        <v>546</v>
      </c>
      <c r="C144" s="310" t="s">
        <v>1420</v>
      </c>
      <c r="D144" s="321"/>
      <c r="E144" s="352"/>
      <c r="F144" s="352"/>
      <c r="G144" s="352"/>
      <c r="H144" s="352">
        <v>0</v>
      </c>
    </row>
    <row r="145" spans="1:9">
      <c r="A145" s="395">
        <v>8</v>
      </c>
      <c r="B145" s="792">
        <v>305100050104005</v>
      </c>
      <c r="C145" s="313" t="s">
        <v>2119</v>
      </c>
      <c r="D145" s="322"/>
      <c r="E145" s="328">
        <f t="shared" si="2"/>
        <v>0</v>
      </c>
      <c r="F145" s="347"/>
      <c r="G145" s="347"/>
      <c r="H145" s="328">
        <v>0</v>
      </c>
      <c r="I145" s="210"/>
    </row>
    <row r="146" spans="1:9" ht="24">
      <c r="A146" s="395">
        <v>8</v>
      </c>
      <c r="B146" s="792">
        <v>305100050104010</v>
      </c>
      <c r="C146" s="313" t="s">
        <v>2120</v>
      </c>
      <c r="D146" s="322"/>
      <c r="E146" s="328">
        <f t="shared" si="2"/>
        <v>0</v>
      </c>
      <c r="F146" s="347"/>
      <c r="G146" s="347"/>
      <c r="H146" s="328">
        <v>0</v>
      </c>
      <c r="I146" s="210"/>
    </row>
    <row r="147" spans="1:9" ht="24">
      <c r="A147" s="395">
        <v>8</v>
      </c>
      <c r="B147" s="792">
        <v>305100050104015</v>
      </c>
      <c r="C147" s="313" t="s">
        <v>2121</v>
      </c>
      <c r="D147" s="322"/>
      <c r="E147" s="328">
        <f t="shared" si="2"/>
        <v>0</v>
      </c>
      <c r="F147" s="347"/>
      <c r="G147" s="347"/>
      <c r="H147" s="328">
        <v>0</v>
      </c>
      <c r="I147" s="210"/>
    </row>
    <row r="148" spans="1:9" ht="24">
      <c r="A148" s="395">
        <v>8</v>
      </c>
      <c r="B148" s="792">
        <v>305100050104020</v>
      </c>
      <c r="C148" s="313" t="s">
        <v>2122</v>
      </c>
      <c r="D148" s="322"/>
      <c r="E148" s="328">
        <f t="shared" si="2"/>
        <v>0</v>
      </c>
      <c r="F148" s="347"/>
      <c r="G148" s="347"/>
      <c r="H148" s="328">
        <v>0</v>
      </c>
      <c r="I148" s="210"/>
    </row>
    <row r="149" spans="1:9" ht="24">
      <c r="A149" s="395">
        <v>8</v>
      </c>
      <c r="B149" s="792">
        <v>305100050104025</v>
      </c>
      <c r="C149" s="313" t="s">
        <v>2123</v>
      </c>
      <c r="D149" s="322"/>
      <c r="E149" s="328">
        <f t="shared" si="2"/>
        <v>0</v>
      </c>
      <c r="F149" s="347"/>
      <c r="G149" s="347"/>
      <c r="H149" s="328">
        <v>0</v>
      </c>
      <c r="I149" s="210"/>
    </row>
    <row r="150" spans="1:9">
      <c r="A150" s="395">
        <v>8</v>
      </c>
      <c r="B150" s="792">
        <v>305100050104030</v>
      </c>
      <c r="C150" s="313" t="s">
        <v>2124</v>
      </c>
      <c r="D150" s="322"/>
      <c r="E150" s="328">
        <f t="shared" si="2"/>
        <v>0</v>
      </c>
      <c r="F150" s="347"/>
      <c r="G150" s="347"/>
      <c r="H150" s="328">
        <v>0</v>
      </c>
      <c r="I150" s="210"/>
    </row>
    <row r="151" spans="1:9">
      <c r="A151" s="395">
        <v>8</v>
      </c>
      <c r="B151" s="792">
        <v>305100050104035</v>
      </c>
      <c r="C151" s="313" t="s">
        <v>2125</v>
      </c>
      <c r="D151" s="322"/>
      <c r="E151" s="328">
        <f t="shared" si="2"/>
        <v>0</v>
      </c>
      <c r="F151" s="347"/>
      <c r="G151" s="347"/>
      <c r="H151" s="328">
        <v>0</v>
      </c>
      <c r="I151" s="210"/>
    </row>
    <row r="152" spans="1:9">
      <c r="A152" s="395">
        <v>8</v>
      </c>
      <c r="B152" s="792">
        <v>305100050104040</v>
      </c>
      <c r="C152" s="313" t="s">
        <v>547</v>
      </c>
      <c r="D152" s="322"/>
      <c r="E152" s="328">
        <f t="shared" si="2"/>
        <v>0</v>
      </c>
      <c r="F152" s="347"/>
      <c r="G152" s="347"/>
      <c r="H152" s="328">
        <v>0</v>
      </c>
      <c r="I152" s="210"/>
    </row>
    <row r="153" spans="1:9" ht="25.5">
      <c r="A153" s="394" t="s">
        <v>1969</v>
      </c>
      <c r="B153" s="793" t="s">
        <v>548</v>
      </c>
      <c r="C153" s="310" t="s">
        <v>1421</v>
      </c>
      <c r="D153" s="321" t="s">
        <v>1248</v>
      </c>
      <c r="E153" s="352"/>
      <c r="F153" s="352"/>
      <c r="G153" s="352"/>
      <c r="H153" s="352">
        <v>0</v>
      </c>
    </row>
    <row r="154" spans="1:9" ht="24">
      <c r="A154" s="395" t="s">
        <v>1970</v>
      </c>
      <c r="B154" s="792">
        <v>305100050200000</v>
      </c>
      <c r="C154" s="313" t="s">
        <v>2126</v>
      </c>
      <c r="D154" s="322" t="s">
        <v>1248</v>
      </c>
      <c r="E154" s="328">
        <f t="shared" si="2"/>
        <v>0</v>
      </c>
      <c r="F154" s="347"/>
      <c r="G154" s="347"/>
      <c r="H154" s="328">
        <v>0</v>
      </c>
      <c r="I154" s="210"/>
    </row>
    <row r="155" spans="1:9" ht="25.5">
      <c r="A155" s="394" t="s">
        <v>1969</v>
      </c>
      <c r="B155" s="793" t="s">
        <v>549</v>
      </c>
      <c r="C155" s="310" t="s">
        <v>1422</v>
      </c>
      <c r="D155" s="321"/>
      <c r="E155" s="352"/>
      <c r="F155" s="352"/>
      <c r="G155" s="352"/>
      <c r="H155" s="352">
        <v>0</v>
      </c>
    </row>
    <row r="156" spans="1:9" ht="24">
      <c r="A156" s="395" t="s">
        <v>1970</v>
      </c>
      <c r="B156" s="792">
        <v>305100050300000</v>
      </c>
      <c r="C156" s="313" t="s">
        <v>2127</v>
      </c>
      <c r="D156" s="322"/>
      <c r="E156" s="328">
        <f t="shared" si="2"/>
        <v>0</v>
      </c>
      <c r="F156" s="347"/>
      <c r="G156" s="347"/>
      <c r="H156" s="328">
        <v>0</v>
      </c>
      <c r="I156" s="210"/>
    </row>
    <row r="157" spans="1:9">
      <c r="A157" s="394" t="s">
        <v>1967</v>
      </c>
      <c r="B157" s="793" t="s">
        <v>550</v>
      </c>
      <c r="C157" s="310" t="s">
        <v>2128</v>
      </c>
      <c r="D157" s="321"/>
      <c r="E157" s="352"/>
      <c r="F157" s="352"/>
      <c r="G157" s="352"/>
      <c r="H157" s="352">
        <v>0</v>
      </c>
    </row>
    <row r="158" spans="1:9">
      <c r="A158" s="394" t="s">
        <v>1969</v>
      </c>
      <c r="B158" s="793" t="s">
        <v>551</v>
      </c>
      <c r="C158" s="310" t="s">
        <v>1424</v>
      </c>
      <c r="D158" s="321"/>
      <c r="E158" s="352"/>
      <c r="F158" s="352"/>
      <c r="G158" s="352"/>
      <c r="H158" s="352">
        <v>0</v>
      </c>
    </row>
    <row r="159" spans="1:9">
      <c r="A159" s="395">
        <v>7</v>
      </c>
      <c r="B159" s="794">
        <v>305100100101000</v>
      </c>
      <c r="C159" s="313" t="s">
        <v>552</v>
      </c>
      <c r="D159" s="322"/>
      <c r="E159" s="328">
        <f t="shared" si="2"/>
        <v>0</v>
      </c>
      <c r="F159" s="347"/>
      <c r="G159" s="347"/>
      <c r="H159" s="328">
        <v>0</v>
      </c>
      <c r="I159" s="210"/>
    </row>
    <row r="160" spans="1:9">
      <c r="A160" s="395">
        <v>7</v>
      </c>
      <c r="B160" s="792">
        <v>305100100102000</v>
      </c>
      <c r="C160" s="313" t="s">
        <v>553</v>
      </c>
      <c r="D160" s="322"/>
      <c r="E160" s="328">
        <f t="shared" si="2"/>
        <v>0</v>
      </c>
      <c r="F160" s="347"/>
      <c r="G160" s="347"/>
      <c r="H160" s="328">
        <v>0</v>
      </c>
      <c r="I160" s="210"/>
    </row>
    <row r="161" spans="1:9" ht="25.5">
      <c r="A161" s="394" t="s">
        <v>1969</v>
      </c>
      <c r="B161" s="793" t="s">
        <v>554</v>
      </c>
      <c r="C161" s="310" t="s">
        <v>1425</v>
      </c>
      <c r="D161" s="321" t="s">
        <v>1248</v>
      </c>
      <c r="E161" s="352"/>
      <c r="F161" s="352"/>
      <c r="G161" s="352"/>
      <c r="H161" s="352">
        <v>0</v>
      </c>
    </row>
    <row r="162" spans="1:9" ht="24">
      <c r="A162" s="395" t="s">
        <v>1970</v>
      </c>
      <c r="B162" s="792">
        <v>305100100200000</v>
      </c>
      <c r="C162" s="313" t="s">
        <v>2129</v>
      </c>
      <c r="D162" s="322" t="s">
        <v>1248</v>
      </c>
      <c r="E162" s="328">
        <f t="shared" si="2"/>
        <v>0</v>
      </c>
      <c r="F162" s="347"/>
      <c r="G162" s="347"/>
      <c r="H162" s="328">
        <v>0</v>
      </c>
      <c r="I162" s="210"/>
    </row>
    <row r="163" spans="1:9">
      <c r="A163" s="394" t="s">
        <v>1969</v>
      </c>
      <c r="B163" s="793" t="s">
        <v>555</v>
      </c>
      <c r="C163" s="310" t="s">
        <v>1426</v>
      </c>
      <c r="D163" s="321"/>
      <c r="E163" s="352"/>
      <c r="F163" s="352"/>
      <c r="G163" s="352"/>
      <c r="H163" s="352">
        <v>0</v>
      </c>
    </row>
    <row r="164" spans="1:9">
      <c r="A164" s="395" t="s">
        <v>1970</v>
      </c>
      <c r="B164" s="792">
        <v>305100100300000</v>
      </c>
      <c r="C164" s="313" t="s">
        <v>2130</v>
      </c>
      <c r="D164" s="322"/>
      <c r="E164" s="328">
        <f t="shared" si="2"/>
        <v>0</v>
      </c>
      <c r="F164" s="347"/>
      <c r="G164" s="347"/>
      <c r="H164" s="328">
        <v>0</v>
      </c>
      <c r="I164" s="210"/>
    </row>
    <row r="165" spans="1:9" ht="25.5">
      <c r="A165" s="394" t="s">
        <v>1967</v>
      </c>
      <c r="B165" s="793" t="s">
        <v>556</v>
      </c>
      <c r="C165" s="310" t="s">
        <v>2131</v>
      </c>
      <c r="D165" s="321"/>
      <c r="E165" s="352"/>
      <c r="F165" s="352"/>
      <c r="G165" s="352"/>
      <c r="H165" s="352">
        <v>0</v>
      </c>
    </row>
    <row r="166" spans="1:9" ht="25.5">
      <c r="A166" s="394" t="s">
        <v>1969</v>
      </c>
      <c r="B166" s="793" t="s">
        <v>557</v>
      </c>
      <c r="C166" s="310" t="s">
        <v>1428</v>
      </c>
      <c r="D166" s="321" t="s">
        <v>1248</v>
      </c>
      <c r="E166" s="352"/>
      <c r="F166" s="352"/>
      <c r="G166" s="352"/>
      <c r="H166" s="352">
        <v>0</v>
      </c>
    </row>
    <row r="167" spans="1:9">
      <c r="A167" s="395">
        <v>7</v>
      </c>
      <c r="B167" s="792">
        <v>305100150101000</v>
      </c>
      <c r="C167" s="313" t="s">
        <v>558</v>
      </c>
      <c r="D167" s="322" t="s">
        <v>1248</v>
      </c>
      <c r="E167" s="328">
        <f t="shared" si="2"/>
        <v>0</v>
      </c>
      <c r="F167" s="347"/>
      <c r="G167" s="347"/>
      <c r="H167" s="328">
        <v>0</v>
      </c>
      <c r="I167" s="210"/>
    </row>
    <row r="168" spans="1:9" ht="24">
      <c r="A168" s="395">
        <v>7</v>
      </c>
      <c r="B168" s="792">
        <v>305100150102000</v>
      </c>
      <c r="C168" s="313" t="s">
        <v>559</v>
      </c>
      <c r="D168" s="322" t="s">
        <v>1248</v>
      </c>
      <c r="E168" s="328">
        <f t="shared" si="2"/>
        <v>2153.1999999999998</v>
      </c>
      <c r="F168" s="347">
        <v>2153.1999999999998</v>
      </c>
      <c r="G168" s="347"/>
      <c r="H168" s="328">
        <v>0</v>
      </c>
      <c r="I168" s="210"/>
    </row>
    <row r="169" spans="1:9" ht="38.25">
      <c r="A169" s="394" t="s">
        <v>1969</v>
      </c>
      <c r="B169" s="793" t="s">
        <v>561</v>
      </c>
      <c r="C169" s="310" t="s">
        <v>2132</v>
      </c>
      <c r="D169" s="321" t="s">
        <v>1248</v>
      </c>
      <c r="E169" s="352"/>
      <c r="F169" s="352"/>
      <c r="G169" s="352"/>
      <c r="H169" s="352">
        <v>0</v>
      </c>
    </row>
    <row r="170" spans="1:9" ht="24">
      <c r="A170" s="395" t="s">
        <v>1970</v>
      </c>
      <c r="B170" s="792">
        <v>305100150150000</v>
      </c>
      <c r="C170" s="313" t="s">
        <v>560</v>
      </c>
      <c r="D170" s="322" t="s">
        <v>1248</v>
      </c>
      <c r="E170" s="328">
        <f t="shared" si="2"/>
        <v>0</v>
      </c>
      <c r="F170" s="347"/>
      <c r="G170" s="347"/>
      <c r="H170" s="328">
        <v>0</v>
      </c>
      <c r="I170" s="210"/>
    </row>
    <row r="171" spans="1:9" ht="38.25">
      <c r="A171" s="394" t="s">
        <v>1969</v>
      </c>
      <c r="B171" s="793" t="s">
        <v>562</v>
      </c>
      <c r="C171" s="310" t="s">
        <v>2133</v>
      </c>
      <c r="D171" s="321"/>
      <c r="E171" s="352"/>
      <c r="F171" s="352"/>
      <c r="G171" s="352"/>
      <c r="H171" s="352">
        <v>0</v>
      </c>
    </row>
    <row r="172" spans="1:9" ht="24">
      <c r="A172" s="395" t="s">
        <v>1970</v>
      </c>
      <c r="B172" s="792">
        <v>305100150200000</v>
      </c>
      <c r="C172" s="313" t="s">
        <v>2134</v>
      </c>
      <c r="D172" s="322"/>
      <c r="E172" s="328">
        <f t="shared" si="2"/>
        <v>0</v>
      </c>
      <c r="F172" s="347"/>
      <c r="G172" s="347"/>
      <c r="H172" s="328">
        <v>0</v>
      </c>
      <c r="I172" s="210"/>
    </row>
    <row r="173" spans="1:9" ht="25.5">
      <c r="A173" s="394" t="s">
        <v>1969</v>
      </c>
      <c r="B173" s="793" t="s">
        <v>564</v>
      </c>
      <c r="C173" s="310" t="s">
        <v>2135</v>
      </c>
      <c r="D173" s="321"/>
      <c r="E173" s="352"/>
      <c r="F173" s="352"/>
      <c r="G173" s="352"/>
      <c r="H173" s="352">
        <v>0</v>
      </c>
    </row>
    <row r="174" spans="1:9" ht="24">
      <c r="A174" s="395" t="s">
        <v>1970</v>
      </c>
      <c r="B174" s="792">
        <v>305100150250000</v>
      </c>
      <c r="C174" s="313" t="s">
        <v>563</v>
      </c>
      <c r="D174" s="322"/>
      <c r="E174" s="328">
        <f t="shared" si="2"/>
        <v>0</v>
      </c>
      <c r="F174" s="347"/>
      <c r="G174" s="347"/>
      <c r="H174" s="328">
        <v>0</v>
      </c>
      <c r="I174" s="210"/>
    </row>
    <row r="175" spans="1:9">
      <c r="A175" s="394" t="s">
        <v>1969</v>
      </c>
      <c r="B175" s="793" t="s">
        <v>565</v>
      </c>
      <c r="C175" s="310" t="s">
        <v>1432</v>
      </c>
      <c r="D175" s="321"/>
      <c r="E175" s="352"/>
      <c r="F175" s="352"/>
      <c r="G175" s="352"/>
      <c r="H175" s="352">
        <v>0</v>
      </c>
    </row>
    <row r="176" spans="1:9" ht="24">
      <c r="A176" s="395">
        <v>7</v>
      </c>
      <c r="B176" s="792">
        <v>305100150301000</v>
      </c>
      <c r="C176" s="313" t="s">
        <v>566</v>
      </c>
      <c r="D176" s="322"/>
      <c r="E176" s="328">
        <f t="shared" si="2"/>
        <v>0</v>
      </c>
      <c r="F176" s="347"/>
      <c r="G176" s="347"/>
      <c r="H176" s="328">
        <v>0</v>
      </c>
      <c r="I176" s="210"/>
    </row>
    <row r="177" spans="1:9" ht="25.5">
      <c r="A177" s="394" t="s">
        <v>1969</v>
      </c>
      <c r="B177" s="793" t="s">
        <v>569</v>
      </c>
      <c r="C177" s="310" t="s">
        <v>2136</v>
      </c>
      <c r="D177" s="321"/>
      <c r="E177" s="352"/>
      <c r="F177" s="352"/>
      <c r="G177" s="352"/>
      <c r="H177" s="352">
        <v>0</v>
      </c>
    </row>
    <row r="178" spans="1:9" ht="24">
      <c r="A178" s="395" t="s">
        <v>1970</v>
      </c>
      <c r="B178" s="792">
        <v>305100150350000</v>
      </c>
      <c r="C178" s="313" t="s">
        <v>568</v>
      </c>
      <c r="D178" s="322"/>
      <c r="E178" s="328">
        <f t="shared" si="2"/>
        <v>0</v>
      </c>
      <c r="F178" s="347"/>
      <c r="G178" s="347"/>
      <c r="H178" s="328">
        <v>0</v>
      </c>
      <c r="I178" s="210"/>
    </row>
    <row r="179" spans="1:9">
      <c r="A179" s="394" t="s">
        <v>1969</v>
      </c>
      <c r="B179" s="793" t="s">
        <v>570</v>
      </c>
      <c r="C179" s="310" t="s">
        <v>1434</v>
      </c>
      <c r="D179" s="321"/>
      <c r="E179" s="352"/>
      <c r="F179" s="352"/>
      <c r="G179" s="352"/>
      <c r="H179" s="352">
        <v>0</v>
      </c>
    </row>
    <row r="180" spans="1:9">
      <c r="A180" s="395">
        <v>7</v>
      </c>
      <c r="B180" s="792">
        <v>305100150401000</v>
      </c>
      <c r="C180" s="313" t="s">
        <v>2137</v>
      </c>
      <c r="D180" s="322"/>
      <c r="E180" s="328">
        <f t="shared" si="2"/>
        <v>0</v>
      </c>
      <c r="F180" s="347"/>
      <c r="G180" s="347"/>
      <c r="H180" s="328">
        <v>0</v>
      </c>
      <c r="I180" s="210"/>
    </row>
    <row r="181" spans="1:9">
      <c r="A181" s="395">
        <v>7</v>
      </c>
      <c r="B181" s="792">
        <v>305100150402000</v>
      </c>
      <c r="C181" s="313" t="s">
        <v>2138</v>
      </c>
      <c r="D181" s="322"/>
      <c r="E181" s="328">
        <f t="shared" si="2"/>
        <v>0</v>
      </c>
      <c r="F181" s="347"/>
      <c r="G181" s="347"/>
      <c r="H181" s="328">
        <v>0</v>
      </c>
      <c r="I181" s="210"/>
    </row>
    <row r="182" spans="1:9">
      <c r="A182" s="395">
        <v>7</v>
      </c>
      <c r="B182" s="792">
        <v>305100150403000</v>
      </c>
      <c r="C182" s="313" t="s">
        <v>2139</v>
      </c>
      <c r="D182" s="322"/>
      <c r="E182" s="328">
        <f t="shared" si="2"/>
        <v>0</v>
      </c>
      <c r="F182" s="347"/>
      <c r="G182" s="347"/>
      <c r="H182" s="328">
        <v>0</v>
      </c>
      <c r="I182" s="210"/>
    </row>
    <row r="183" spans="1:9">
      <c r="A183" s="395">
        <v>7</v>
      </c>
      <c r="B183" s="792">
        <v>305100150404000</v>
      </c>
      <c r="C183" s="313" t="s">
        <v>2140</v>
      </c>
      <c r="D183" s="322"/>
      <c r="E183" s="328">
        <f t="shared" si="2"/>
        <v>0</v>
      </c>
      <c r="F183" s="347"/>
      <c r="G183" s="347"/>
      <c r="H183" s="328">
        <v>0</v>
      </c>
      <c r="I183" s="210"/>
    </row>
    <row r="184" spans="1:9">
      <c r="A184" s="395">
        <v>7</v>
      </c>
      <c r="B184" s="792">
        <v>305100150405000</v>
      </c>
      <c r="C184" s="313" t="s">
        <v>2141</v>
      </c>
      <c r="D184" s="322"/>
      <c r="E184" s="328">
        <f t="shared" si="2"/>
        <v>0</v>
      </c>
      <c r="F184" s="347"/>
      <c r="G184" s="347"/>
      <c r="H184" s="328">
        <v>0</v>
      </c>
      <c r="I184" s="210"/>
    </row>
    <row r="185" spans="1:9">
      <c r="A185" s="395">
        <v>7</v>
      </c>
      <c r="B185" s="792">
        <v>305100150406000</v>
      </c>
      <c r="C185" s="313" t="s">
        <v>2142</v>
      </c>
      <c r="D185" s="322"/>
      <c r="E185" s="328">
        <f t="shared" si="2"/>
        <v>0</v>
      </c>
      <c r="F185" s="347"/>
      <c r="G185" s="347"/>
      <c r="H185" s="328">
        <v>0</v>
      </c>
      <c r="I185" s="210"/>
    </row>
    <row r="186" spans="1:9">
      <c r="A186" s="395">
        <v>7</v>
      </c>
      <c r="B186" s="792">
        <v>305100150407000</v>
      </c>
      <c r="C186" s="313" t="s">
        <v>2143</v>
      </c>
      <c r="D186" s="322"/>
      <c r="E186" s="328">
        <f t="shared" si="2"/>
        <v>0</v>
      </c>
      <c r="F186" s="347"/>
      <c r="G186" s="347"/>
      <c r="H186" s="328">
        <v>0</v>
      </c>
      <c r="I186" s="210"/>
    </row>
    <row r="187" spans="1:9">
      <c r="A187" s="394" t="s">
        <v>1969</v>
      </c>
      <c r="B187" s="793" t="s">
        <v>571</v>
      </c>
      <c r="C187" s="310" t="s">
        <v>1435</v>
      </c>
      <c r="D187" s="321"/>
      <c r="E187" s="352"/>
      <c r="F187" s="352"/>
      <c r="G187" s="352"/>
      <c r="H187" s="352">
        <v>0</v>
      </c>
    </row>
    <row r="188" spans="1:9" ht="25.5">
      <c r="A188" s="394" t="s">
        <v>1970</v>
      </c>
      <c r="B188" s="793" t="s">
        <v>573</v>
      </c>
      <c r="C188" s="310" t="s">
        <v>1436</v>
      </c>
      <c r="D188" s="321"/>
      <c r="E188" s="352"/>
      <c r="F188" s="352"/>
      <c r="G188" s="352"/>
      <c r="H188" s="352">
        <v>0</v>
      </c>
    </row>
    <row r="189" spans="1:9" ht="24">
      <c r="A189" s="395" t="s">
        <v>2017</v>
      </c>
      <c r="B189" s="792">
        <v>305100150501000</v>
      </c>
      <c r="C189" s="313" t="s">
        <v>572</v>
      </c>
      <c r="D189" s="322"/>
      <c r="E189" s="328">
        <f t="shared" si="2"/>
        <v>0</v>
      </c>
      <c r="F189" s="347"/>
      <c r="G189" s="347"/>
      <c r="H189" s="328">
        <v>0</v>
      </c>
      <c r="I189" s="210"/>
    </row>
    <row r="190" spans="1:9" ht="38.25">
      <c r="A190" s="394" t="s">
        <v>1970</v>
      </c>
      <c r="B190" s="793" t="s">
        <v>574</v>
      </c>
      <c r="C190" s="310" t="s">
        <v>2144</v>
      </c>
      <c r="D190" s="321"/>
      <c r="E190" s="352"/>
      <c r="F190" s="352"/>
      <c r="G190" s="352"/>
      <c r="H190" s="352">
        <v>0</v>
      </c>
    </row>
    <row r="191" spans="1:9" ht="24">
      <c r="A191" s="395" t="s">
        <v>2017</v>
      </c>
      <c r="B191" s="792">
        <v>305100150501500</v>
      </c>
      <c r="C191" s="313" t="s">
        <v>2145</v>
      </c>
      <c r="D191" s="322"/>
      <c r="E191" s="328">
        <f t="shared" si="2"/>
        <v>0</v>
      </c>
      <c r="F191" s="347"/>
      <c r="G191" s="347"/>
      <c r="H191" s="328">
        <v>0</v>
      </c>
      <c r="I191" s="210"/>
    </row>
    <row r="192" spans="1:9" ht="25.5">
      <c r="A192" s="394" t="s">
        <v>1970</v>
      </c>
      <c r="B192" s="793" t="s">
        <v>576</v>
      </c>
      <c r="C192" s="310" t="s">
        <v>1438</v>
      </c>
      <c r="D192" s="321"/>
      <c r="E192" s="352"/>
      <c r="F192" s="352"/>
      <c r="G192" s="352"/>
      <c r="H192" s="352">
        <v>0</v>
      </c>
    </row>
    <row r="193" spans="1:9" ht="24">
      <c r="A193" s="395" t="s">
        <v>2017</v>
      </c>
      <c r="B193" s="792">
        <v>305100150502000</v>
      </c>
      <c r="C193" s="313" t="s">
        <v>575</v>
      </c>
      <c r="D193" s="322"/>
      <c r="E193" s="328">
        <f t="shared" si="2"/>
        <v>0</v>
      </c>
      <c r="F193" s="347"/>
      <c r="G193" s="347"/>
      <c r="H193" s="328">
        <v>0</v>
      </c>
      <c r="I193" s="210"/>
    </row>
    <row r="194" spans="1:9" ht="38.25">
      <c r="A194" s="394" t="s">
        <v>1970</v>
      </c>
      <c r="B194" s="793" t="s">
        <v>578</v>
      </c>
      <c r="C194" s="310" t="s">
        <v>2146</v>
      </c>
      <c r="D194" s="321"/>
      <c r="E194" s="352"/>
      <c r="F194" s="352"/>
      <c r="G194" s="352"/>
      <c r="H194" s="352">
        <v>0</v>
      </c>
    </row>
    <row r="195" spans="1:9" ht="24">
      <c r="A195" s="395" t="s">
        <v>2017</v>
      </c>
      <c r="B195" s="792">
        <v>305100150502500</v>
      </c>
      <c r="C195" s="313" t="s">
        <v>577</v>
      </c>
      <c r="D195" s="322"/>
      <c r="E195" s="328">
        <f t="shared" si="2"/>
        <v>0</v>
      </c>
      <c r="F195" s="347"/>
      <c r="G195" s="347"/>
      <c r="H195" s="328">
        <v>0</v>
      </c>
      <c r="I195" s="210"/>
    </row>
    <row r="196" spans="1:9" ht="25.5">
      <c r="A196" s="394" t="s">
        <v>1970</v>
      </c>
      <c r="B196" s="793" t="s">
        <v>580</v>
      </c>
      <c r="C196" s="310" t="s">
        <v>1440</v>
      </c>
      <c r="D196" s="321"/>
      <c r="E196" s="352"/>
      <c r="F196" s="352"/>
      <c r="G196" s="352"/>
      <c r="H196" s="352">
        <v>0</v>
      </c>
    </row>
    <row r="197" spans="1:9" ht="24">
      <c r="A197" s="395" t="s">
        <v>2017</v>
      </c>
      <c r="B197" s="792">
        <v>305100150503000</v>
      </c>
      <c r="C197" s="313" t="s">
        <v>579</v>
      </c>
      <c r="D197" s="322"/>
      <c r="E197" s="328">
        <f t="shared" si="2"/>
        <v>136.41999999999999</v>
      </c>
      <c r="F197" s="347">
        <v>136.41999999999999</v>
      </c>
      <c r="G197" s="347"/>
      <c r="H197" s="328">
        <v>237.97</v>
      </c>
      <c r="I197" s="210"/>
    </row>
    <row r="198" spans="1:9" ht="25.5">
      <c r="A198" s="394" t="s">
        <v>1970</v>
      </c>
      <c r="B198" s="793" t="s">
        <v>582</v>
      </c>
      <c r="C198" s="310" t="s">
        <v>2147</v>
      </c>
      <c r="D198" s="321"/>
      <c r="E198" s="352"/>
      <c r="F198" s="352"/>
      <c r="G198" s="352"/>
      <c r="H198" s="352">
        <v>0</v>
      </c>
    </row>
    <row r="199" spans="1:9" ht="24">
      <c r="A199" s="395" t="s">
        <v>2017</v>
      </c>
      <c r="B199" s="792">
        <v>305100150503500</v>
      </c>
      <c r="C199" s="313" t="s">
        <v>581</v>
      </c>
      <c r="D199" s="322"/>
      <c r="E199" s="328">
        <f t="shared" ref="E199:E260" si="3">+F199+G199</f>
        <v>0</v>
      </c>
      <c r="F199" s="347"/>
      <c r="G199" s="347"/>
      <c r="H199" s="328">
        <v>0</v>
      </c>
      <c r="I199" s="210"/>
    </row>
    <row r="200" spans="1:9" ht="25.5">
      <c r="A200" s="394" t="s">
        <v>1970</v>
      </c>
      <c r="B200" s="793" t="s">
        <v>584</v>
      </c>
      <c r="C200" s="310" t="s">
        <v>1442</v>
      </c>
      <c r="D200" s="321"/>
      <c r="E200" s="352"/>
      <c r="F200" s="352"/>
      <c r="G200" s="352"/>
      <c r="H200" s="352">
        <v>0</v>
      </c>
    </row>
    <row r="201" spans="1:9">
      <c r="A201" s="395" t="s">
        <v>2017</v>
      </c>
      <c r="B201" s="792">
        <v>305100150504000</v>
      </c>
      <c r="C201" s="313" t="s">
        <v>583</v>
      </c>
      <c r="D201" s="322"/>
      <c r="E201" s="328">
        <f t="shared" si="3"/>
        <v>0</v>
      </c>
      <c r="F201" s="347"/>
      <c r="G201" s="347"/>
      <c r="H201" s="328">
        <v>0</v>
      </c>
      <c r="I201" s="210"/>
    </row>
    <row r="202" spans="1:9" ht="25.5">
      <c r="A202" s="394" t="s">
        <v>1970</v>
      </c>
      <c r="B202" s="793" t="s">
        <v>586</v>
      </c>
      <c r="C202" s="310" t="s">
        <v>2148</v>
      </c>
      <c r="D202" s="321"/>
      <c r="E202" s="352"/>
      <c r="F202" s="352"/>
      <c r="G202" s="352"/>
      <c r="H202" s="352">
        <v>0</v>
      </c>
    </row>
    <row r="203" spans="1:9" ht="24">
      <c r="A203" s="395" t="s">
        <v>2017</v>
      </c>
      <c r="B203" s="792">
        <v>305100150504500</v>
      </c>
      <c r="C203" s="313" t="s">
        <v>585</v>
      </c>
      <c r="D203" s="322"/>
      <c r="E203" s="328">
        <f t="shared" si="3"/>
        <v>0</v>
      </c>
      <c r="F203" s="347"/>
      <c r="G203" s="347"/>
      <c r="H203" s="328">
        <v>0</v>
      </c>
      <c r="I203" s="210"/>
    </row>
    <row r="204" spans="1:9" ht="25.5">
      <c r="A204" s="394" t="s">
        <v>1969</v>
      </c>
      <c r="B204" s="793" t="s">
        <v>587</v>
      </c>
      <c r="C204" s="310" t="s">
        <v>1444</v>
      </c>
      <c r="D204" s="321"/>
      <c r="E204" s="352"/>
      <c r="F204" s="352"/>
      <c r="G204" s="352"/>
      <c r="H204" s="352">
        <v>0</v>
      </c>
    </row>
    <row r="205" spans="1:9" ht="36">
      <c r="A205" s="395" t="s">
        <v>1970</v>
      </c>
      <c r="B205" s="792">
        <v>305100150600000</v>
      </c>
      <c r="C205" s="313" t="s">
        <v>2149</v>
      </c>
      <c r="D205" s="322"/>
      <c r="E205" s="328">
        <f t="shared" si="3"/>
        <v>0</v>
      </c>
      <c r="F205" s="347"/>
      <c r="G205" s="347"/>
      <c r="H205" s="328">
        <v>0</v>
      </c>
      <c r="I205" s="210"/>
    </row>
    <row r="206" spans="1:9" ht="51">
      <c r="A206" s="394" t="s">
        <v>1969</v>
      </c>
      <c r="B206" s="793" t="s">
        <v>589</v>
      </c>
      <c r="C206" s="310" t="s">
        <v>2150</v>
      </c>
      <c r="D206" s="321"/>
      <c r="E206" s="352"/>
      <c r="F206" s="352"/>
      <c r="G206" s="352"/>
      <c r="H206" s="352">
        <v>0</v>
      </c>
    </row>
    <row r="207" spans="1:9" ht="36">
      <c r="A207" s="395" t="s">
        <v>1970</v>
      </c>
      <c r="B207" s="792">
        <v>305100150700000</v>
      </c>
      <c r="C207" s="313" t="s">
        <v>588</v>
      </c>
      <c r="D207" s="322"/>
      <c r="E207" s="328">
        <f t="shared" si="3"/>
        <v>0</v>
      </c>
      <c r="F207" s="347"/>
      <c r="G207" s="347"/>
      <c r="H207" s="328">
        <v>0</v>
      </c>
      <c r="I207" s="210"/>
    </row>
    <row r="208" spans="1:9">
      <c r="A208" s="394" t="s">
        <v>1967</v>
      </c>
      <c r="B208" s="793" t="s">
        <v>590</v>
      </c>
      <c r="C208" s="310" t="s">
        <v>2151</v>
      </c>
      <c r="D208" s="321"/>
      <c r="E208" s="352"/>
      <c r="F208" s="352"/>
      <c r="G208" s="352"/>
      <c r="H208" s="352">
        <v>0</v>
      </c>
    </row>
    <row r="209" spans="1:9" ht="25.5">
      <c r="A209" s="394" t="s">
        <v>1969</v>
      </c>
      <c r="B209" s="793" t="s">
        <v>591</v>
      </c>
      <c r="C209" s="310" t="s">
        <v>1447</v>
      </c>
      <c r="D209" s="321" t="s">
        <v>1248</v>
      </c>
      <c r="E209" s="352"/>
      <c r="F209" s="352"/>
      <c r="G209" s="352"/>
      <c r="H209" s="352">
        <v>0</v>
      </c>
    </row>
    <row r="210" spans="1:9" ht="24">
      <c r="A210" s="395" t="s">
        <v>1970</v>
      </c>
      <c r="B210" s="792">
        <v>305100200100000</v>
      </c>
      <c r="C210" s="313" t="s">
        <v>2152</v>
      </c>
      <c r="D210" s="322" t="s">
        <v>1248</v>
      </c>
      <c r="E210" s="328">
        <f t="shared" si="3"/>
        <v>0</v>
      </c>
      <c r="F210" s="347"/>
      <c r="G210" s="347"/>
      <c r="H210" s="328">
        <v>0</v>
      </c>
      <c r="I210" s="210"/>
    </row>
    <row r="211" spans="1:9">
      <c r="A211" s="394" t="s">
        <v>1969</v>
      </c>
      <c r="B211" s="793" t="s">
        <v>592</v>
      </c>
      <c r="C211" s="310" t="s">
        <v>1448</v>
      </c>
      <c r="D211" s="321"/>
      <c r="E211" s="352"/>
      <c r="F211" s="352"/>
      <c r="G211" s="352"/>
      <c r="H211" s="352">
        <v>0</v>
      </c>
    </row>
    <row r="212" spans="1:9" ht="24">
      <c r="A212" s="395" t="s">
        <v>1970</v>
      </c>
      <c r="B212" s="792">
        <v>305100200200000</v>
      </c>
      <c r="C212" s="313" t="s">
        <v>2153</v>
      </c>
      <c r="D212" s="322"/>
      <c r="E212" s="328">
        <f t="shared" si="3"/>
        <v>0</v>
      </c>
      <c r="F212" s="347"/>
      <c r="G212" s="347"/>
      <c r="H212" s="328">
        <v>0</v>
      </c>
      <c r="I212" s="210"/>
    </row>
    <row r="213" spans="1:9" ht="25.5">
      <c r="A213" s="394" t="s">
        <v>1969</v>
      </c>
      <c r="B213" s="793" t="s">
        <v>593</v>
      </c>
      <c r="C213" s="310" t="s">
        <v>1449</v>
      </c>
      <c r="D213" s="321"/>
      <c r="E213" s="352"/>
      <c r="F213" s="352"/>
      <c r="G213" s="352"/>
      <c r="H213" s="352">
        <v>0</v>
      </c>
    </row>
    <row r="214" spans="1:9" ht="24">
      <c r="A214" s="395" t="s">
        <v>1970</v>
      </c>
      <c r="B214" s="792">
        <v>305100200300000</v>
      </c>
      <c r="C214" s="313" t="s">
        <v>2154</v>
      </c>
      <c r="D214" s="322"/>
      <c r="E214" s="328">
        <f t="shared" si="3"/>
        <v>0</v>
      </c>
      <c r="F214" s="347"/>
      <c r="G214" s="347"/>
      <c r="H214" s="328">
        <v>0</v>
      </c>
      <c r="I214" s="210"/>
    </row>
    <row r="215" spans="1:9">
      <c r="A215" s="394" t="s">
        <v>1969</v>
      </c>
      <c r="B215" s="793" t="s">
        <v>594</v>
      </c>
      <c r="C215" s="310" t="s">
        <v>1450</v>
      </c>
      <c r="D215" s="321"/>
      <c r="E215" s="352"/>
      <c r="F215" s="352"/>
      <c r="G215" s="352"/>
      <c r="H215" s="352">
        <v>0</v>
      </c>
    </row>
    <row r="216" spans="1:9" ht="24">
      <c r="A216" s="395">
        <v>7</v>
      </c>
      <c r="B216" s="792">
        <v>305100200401000</v>
      </c>
      <c r="C216" s="313" t="s">
        <v>2155</v>
      </c>
      <c r="D216" s="322"/>
      <c r="E216" s="328">
        <f t="shared" si="3"/>
        <v>0</v>
      </c>
      <c r="F216" s="347"/>
      <c r="G216" s="347"/>
      <c r="H216" s="328">
        <v>0</v>
      </c>
      <c r="I216" s="210"/>
    </row>
    <row r="217" spans="1:9" ht="24">
      <c r="A217" s="395">
        <v>7</v>
      </c>
      <c r="B217" s="792">
        <v>305100200402000</v>
      </c>
      <c r="C217" s="313" t="s">
        <v>2156</v>
      </c>
      <c r="D217" s="322"/>
      <c r="E217" s="328">
        <f t="shared" si="3"/>
        <v>0</v>
      </c>
      <c r="F217" s="348"/>
      <c r="G217" s="348"/>
      <c r="H217" s="328">
        <v>0</v>
      </c>
      <c r="I217" s="210"/>
    </row>
    <row r="218" spans="1:9">
      <c r="A218" s="394" t="s">
        <v>1969</v>
      </c>
      <c r="B218" s="793" t="s">
        <v>595</v>
      </c>
      <c r="C218" s="310" t="s">
        <v>1451</v>
      </c>
      <c r="D218" s="321"/>
      <c r="E218" s="352"/>
      <c r="F218" s="352"/>
      <c r="G218" s="352"/>
      <c r="H218" s="352">
        <v>0</v>
      </c>
    </row>
    <row r="219" spans="1:9" ht="24">
      <c r="A219" s="395">
        <v>7</v>
      </c>
      <c r="B219" s="792">
        <v>305100200501000</v>
      </c>
      <c r="C219" s="313" t="s">
        <v>2157</v>
      </c>
      <c r="D219" s="322"/>
      <c r="E219" s="328">
        <f t="shared" si="3"/>
        <v>0</v>
      </c>
      <c r="F219" s="347"/>
      <c r="G219" s="347"/>
      <c r="H219" s="328">
        <v>0</v>
      </c>
      <c r="I219" s="210"/>
    </row>
    <row r="220" spans="1:9" ht="24">
      <c r="A220" s="395">
        <v>7</v>
      </c>
      <c r="B220" s="792">
        <v>305100200502000</v>
      </c>
      <c r="C220" s="313" t="s">
        <v>2158</v>
      </c>
      <c r="D220" s="322"/>
      <c r="E220" s="328">
        <f t="shared" si="3"/>
        <v>0</v>
      </c>
      <c r="F220" s="347"/>
      <c r="G220" s="347"/>
      <c r="H220" s="328">
        <v>0</v>
      </c>
      <c r="I220" s="210"/>
    </row>
    <row r="221" spans="1:9">
      <c r="A221" s="394" t="s">
        <v>1967</v>
      </c>
      <c r="B221" s="793" t="s">
        <v>596</v>
      </c>
      <c r="C221" s="310" t="s">
        <v>2159</v>
      </c>
      <c r="D221" s="321"/>
      <c r="E221" s="352"/>
      <c r="F221" s="352"/>
      <c r="G221" s="352"/>
      <c r="H221" s="352">
        <v>0</v>
      </c>
    </row>
    <row r="222" spans="1:9" ht="25.5">
      <c r="A222" s="394" t="s">
        <v>1969</v>
      </c>
      <c r="B222" s="793" t="s">
        <v>597</v>
      </c>
      <c r="C222" s="310" t="s">
        <v>1453</v>
      </c>
      <c r="D222" s="321" t="s">
        <v>1248</v>
      </c>
      <c r="E222" s="352"/>
      <c r="F222" s="352"/>
      <c r="G222" s="352"/>
      <c r="H222" s="352">
        <v>0</v>
      </c>
    </row>
    <row r="223" spans="1:9" ht="24">
      <c r="A223" s="395" t="s">
        <v>1970</v>
      </c>
      <c r="B223" s="792">
        <v>305100250100000</v>
      </c>
      <c r="C223" s="313" t="s">
        <v>2160</v>
      </c>
      <c r="D223" s="322" t="s">
        <v>1248</v>
      </c>
      <c r="E223" s="328">
        <f t="shared" si="3"/>
        <v>0</v>
      </c>
      <c r="F223" s="347"/>
      <c r="G223" s="347"/>
      <c r="H223" s="328">
        <v>0</v>
      </c>
      <c r="I223" s="210"/>
    </row>
    <row r="224" spans="1:9">
      <c r="A224" s="394" t="s">
        <v>1969</v>
      </c>
      <c r="B224" s="793" t="s">
        <v>598</v>
      </c>
      <c r="C224" s="310" t="s">
        <v>1454</v>
      </c>
      <c r="D224" s="321"/>
      <c r="E224" s="352"/>
      <c r="F224" s="352"/>
      <c r="G224" s="352"/>
      <c r="H224" s="352">
        <v>0</v>
      </c>
    </row>
    <row r="225" spans="1:9" ht="24">
      <c r="A225" s="395" t="s">
        <v>1970</v>
      </c>
      <c r="B225" s="792">
        <v>305100250200000</v>
      </c>
      <c r="C225" s="313" t="s">
        <v>2161</v>
      </c>
      <c r="D225" s="322"/>
      <c r="E225" s="328">
        <f t="shared" si="3"/>
        <v>0</v>
      </c>
      <c r="F225" s="347"/>
      <c r="G225" s="347"/>
      <c r="H225" s="328">
        <v>0</v>
      </c>
      <c r="I225" s="210"/>
    </row>
    <row r="226" spans="1:9">
      <c r="A226" s="394" t="s">
        <v>1969</v>
      </c>
      <c r="B226" s="793" t="s">
        <v>599</v>
      </c>
      <c r="C226" s="310" t="s">
        <v>1455</v>
      </c>
      <c r="D226" s="321"/>
      <c r="E226" s="352"/>
      <c r="F226" s="352"/>
      <c r="G226" s="352"/>
      <c r="H226" s="352">
        <v>0</v>
      </c>
    </row>
    <row r="227" spans="1:9" ht="24">
      <c r="A227" s="395" t="s">
        <v>1970</v>
      </c>
      <c r="B227" s="792">
        <v>305100250300000</v>
      </c>
      <c r="C227" s="313" t="s">
        <v>2162</v>
      </c>
      <c r="D227" s="322"/>
      <c r="E227" s="328">
        <f t="shared" si="3"/>
        <v>0</v>
      </c>
      <c r="F227" s="347"/>
      <c r="G227" s="347"/>
      <c r="H227" s="328">
        <v>0</v>
      </c>
      <c r="I227" s="210"/>
    </row>
    <row r="228" spans="1:9">
      <c r="A228" s="394" t="s">
        <v>1969</v>
      </c>
      <c r="B228" s="793" t="s">
        <v>600</v>
      </c>
      <c r="C228" s="310" t="s">
        <v>1456</v>
      </c>
      <c r="D228" s="321"/>
      <c r="E228" s="352"/>
      <c r="F228" s="352"/>
      <c r="G228" s="352"/>
      <c r="H228" s="352">
        <v>0</v>
      </c>
    </row>
    <row r="229" spans="1:9">
      <c r="A229" s="395">
        <v>7</v>
      </c>
      <c r="B229" s="792">
        <v>305100250401000</v>
      </c>
      <c r="C229" s="313" t="s">
        <v>601</v>
      </c>
      <c r="D229" s="322"/>
      <c r="E229" s="328">
        <f t="shared" si="3"/>
        <v>0</v>
      </c>
      <c r="F229" s="347"/>
      <c r="G229" s="347"/>
      <c r="H229" s="328">
        <v>0</v>
      </c>
      <c r="I229" s="210"/>
    </row>
    <row r="230" spans="1:9">
      <c r="A230" s="395">
        <v>7</v>
      </c>
      <c r="B230" s="792">
        <v>305100250402000</v>
      </c>
      <c r="C230" s="313" t="s">
        <v>602</v>
      </c>
      <c r="D230" s="322"/>
      <c r="E230" s="328">
        <f t="shared" si="3"/>
        <v>0</v>
      </c>
      <c r="F230" s="347"/>
      <c r="G230" s="347"/>
      <c r="H230" s="328">
        <v>0</v>
      </c>
      <c r="I230" s="210"/>
    </row>
    <row r="231" spans="1:9">
      <c r="A231" s="395">
        <v>7</v>
      </c>
      <c r="B231" s="792">
        <v>305100250409000</v>
      </c>
      <c r="C231" s="313" t="s">
        <v>604</v>
      </c>
      <c r="D231" s="322"/>
      <c r="E231" s="328">
        <f t="shared" si="3"/>
        <v>0</v>
      </c>
      <c r="F231" s="347"/>
      <c r="G231" s="347"/>
      <c r="H231" s="328">
        <v>0</v>
      </c>
      <c r="I231" s="210"/>
    </row>
    <row r="232" spans="1:9">
      <c r="A232" s="394" t="s">
        <v>1967</v>
      </c>
      <c r="B232" s="793" t="s">
        <v>1457</v>
      </c>
      <c r="C232" s="310" t="s">
        <v>2163</v>
      </c>
      <c r="D232" s="321"/>
      <c r="E232" s="352"/>
      <c r="F232" s="352"/>
      <c r="G232" s="352"/>
      <c r="H232" s="352">
        <v>0</v>
      </c>
    </row>
    <row r="233" spans="1:9" ht="25.5">
      <c r="A233" s="394" t="s">
        <v>1969</v>
      </c>
      <c r="B233" s="793" t="s">
        <v>605</v>
      </c>
      <c r="C233" s="310" t="s">
        <v>1459</v>
      </c>
      <c r="D233" s="321" t="s">
        <v>1248</v>
      </c>
      <c r="E233" s="352"/>
      <c r="F233" s="352"/>
      <c r="G233" s="352"/>
      <c r="H233" s="352">
        <v>0</v>
      </c>
    </row>
    <row r="234" spans="1:9" ht="24">
      <c r="A234" s="395" t="s">
        <v>1970</v>
      </c>
      <c r="B234" s="792">
        <v>305100300100000</v>
      </c>
      <c r="C234" s="313" t="s">
        <v>2164</v>
      </c>
      <c r="D234" s="322" t="s">
        <v>1248</v>
      </c>
      <c r="E234" s="328">
        <f t="shared" si="3"/>
        <v>0</v>
      </c>
      <c r="F234" s="347"/>
      <c r="G234" s="347"/>
      <c r="H234" s="328">
        <v>0</v>
      </c>
      <c r="I234" s="210"/>
    </row>
    <row r="235" spans="1:9">
      <c r="A235" s="394" t="s">
        <v>1969</v>
      </c>
      <c r="B235" s="793" t="s">
        <v>606</v>
      </c>
      <c r="C235" s="310" t="s">
        <v>1460</v>
      </c>
      <c r="D235" s="321"/>
      <c r="E235" s="352"/>
      <c r="F235" s="352"/>
      <c r="G235" s="352"/>
      <c r="H235" s="352">
        <v>0</v>
      </c>
    </row>
    <row r="236" spans="1:9" ht="24">
      <c r="A236" s="395" t="s">
        <v>1970</v>
      </c>
      <c r="B236" s="792">
        <v>305100300200000</v>
      </c>
      <c r="C236" s="313" t="s">
        <v>2165</v>
      </c>
      <c r="D236" s="322"/>
      <c r="E236" s="328">
        <f t="shared" si="3"/>
        <v>0</v>
      </c>
      <c r="F236" s="347"/>
      <c r="G236" s="347"/>
      <c r="H236" s="328">
        <v>0</v>
      </c>
      <c r="I236" s="210"/>
    </row>
    <row r="237" spans="1:9">
      <c r="A237" s="394" t="s">
        <v>1969</v>
      </c>
      <c r="B237" s="793" t="s">
        <v>607</v>
      </c>
      <c r="C237" s="310" t="s">
        <v>1461</v>
      </c>
      <c r="D237" s="321"/>
      <c r="E237" s="352"/>
      <c r="F237" s="352"/>
      <c r="G237" s="352"/>
      <c r="H237" s="352">
        <v>0</v>
      </c>
    </row>
    <row r="238" spans="1:9" ht="24">
      <c r="A238" s="395" t="s">
        <v>1970</v>
      </c>
      <c r="B238" s="792">
        <v>305100300300000</v>
      </c>
      <c r="C238" s="313" t="s">
        <v>2166</v>
      </c>
      <c r="D238" s="322"/>
      <c r="E238" s="328">
        <f t="shared" si="3"/>
        <v>0</v>
      </c>
      <c r="F238" s="347"/>
      <c r="G238" s="347"/>
      <c r="H238" s="328">
        <v>0</v>
      </c>
      <c r="I238" s="210"/>
    </row>
    <row r="239" spans="1:9">
      <c r="A239" s="394" t="s">
        <v>1969</v>
      </c>
      <c r="B239" s="793" t="s">
        <v>608</v>
      </c>
      <c r="C239" s="310" t="s">
        <v>1462</v>
      </c>
      <c r="D239" s="321"/>
      <c r="E239" s="352"/>
      <c r="F239" s="352"/>
      <c r="G239" s="352"/>
      <c r="H239" s="352">
        <v>0</v>
      </c>
    </row>
    <row r="240" spans="1:9">
      <c r="A240" s="395">
        <v>7</v>
      </c>
      <c r="B240" s="792">
        <v>305100300401000</v>
      </c>
      <c r="C240" s="313" t="s">
        <v>609</v>
      </c>
      <c r="D240" s="322"/>
      <c r="E240" s="328">
        <f t="shared" si="3"/>
        <v>0</v>
      </c>
      <c r="F240" s="347"/>
      <c r="G240" s="347"/>
      <c r="H240" s="328">
        <v>0</v>
      </c>
      <c r="I240" s="210"/>
    </row>
    <row r="241" spans="1:9">
      <c r="A241" s="395">
        <v>7</v>
      </c>
      <c r="B241" s="792">
        <v>305100300402000</v>
      </c>
      <c r="C241" s="313" t="s">
        <v>610</v>
      </c>
      <c r="D241" s="322"/>
      <c r="E241" s="328">
        <f t="shared" si="3"/>
        <v>0</v>
      </c>
      <c r="F241" s="347"/>
      <c r="G241" s="347"/>
      <c r="H241" s="328">
        <v>0</v>
      </c>
      <c r="I241" s="210"/>
    </row>
    <row r="242" spans="1:9">
      <c r="A242" s="394" t="s">
        <v>1967</v>
      </c>
      <c r="B242" s="793" t="s">
        <v>611</v>
      </c>
      <c r="C242" s="310" t="s">
        <v>2167</v>
      </c>
      <c r="D242" s="321"/>
      <c r="E242" s="352"/>
      <c r="F242" s="352"/>
      <c r="G242" s="352"/>
      <c r="H242" s="352">
        <v>0</v>
      </c>
    </row>
    <row r="243" spans="1:9" ht="25.5">
      <c r="A243" s="394" t="s">
        <v>1969</v>
      </c>
      <c r="B243" s="793" t="s">
        <v>612</v>
      </c>
      <c r="C243" s="310" t="s">
        <v>1464</v>
      </c>
      <c r="D243" s="321" t="s">
        <v>1248</v>
      </c>
      <c r="E243" s="352"/>
      <c r="F243" s="352"/>
      <c r="G243" s="352"/>
      <c r="H243" s="352">
        <v>0</v>
      </c>
    </row>
    <row r="244" spans="1:9">
      <c r="A244" s="395">
        <v>7</v>
      </c>
      <c r="B244" s="792">
        <v>305100350101000</v>
      </c>
      <c r="C244" s="313" t="s">
        <v>613</v>
      </c>
      <c r="D244" s="322" t="s">
        <v>1248</v>
      </c>
      <c r="E244" s="328">
        <f t="shared" si="3"/>
        <v>0</v>
      </c>
      <c r="F244" s="347"/>
      <c r="G244" s="347"/>
      <c r="H244" s="328">
        <v>0</v>
      </c>
      <c r="I244" s="210"/>
    </row>
    <row r="245" spans="1:9" ht="24">
      <c r="A245" s="395">
        <v>7</v>
      </c>
      <c r="B245" s="792">
        <v>305100350102000</v>
      </c>
      <c r="C245" s="313" t="s">
        <v>614</v>
      </c>
      <c r="D245" s="322" t="s">
        <v>1248</v>
      </c>
      <c r="E245" s="328">
        <f t="shared" si="3"/>
        <v>0</v>
      </c>
      <c r="F245" s="347"/>
      <c r="G245" s="347"/>
      <c r="H245" s="328">
        <v>0</v>
      </c>
      <c r="I245" s="210"/>
    </row>
    <row r="246" spans="1:9">
      <c r="A246" s="394" t="s">
        <v>1969</v>
      </c>
      <c r="B246" s="793" t="s">
        <v>615</v>
      </c>
      <c r="C246" s="310" t="s">
        <v>1465</v>
      </c>
      <c r="D246" s="321"/>
      <c r="E246" s="352"/>
      <c r="F246" s="352"/>
      <c r="G246" s="352"/>
      <c r="H246" s="352">
        <v>0</v>
      </c>
    </row>
    <row r="247" spans="1:9" ht="24">
      <c r="A247" s="395" t="s">
        <v>1970</v>
      </c>
      <c r="B247" s="792">
        <v>305100350200000</v>
      </c>
      <c r="C247" s="313" t="s">
        <v>2168</v>
      </c>
      <c r="D247" s="322"/>
      <c r="E247" s="328">
        <f t="shared" si="3"/>
        <v>0</v>
      </c>
      <c r="F247" s="347"/>
      <c r="G247" s="347"/>
      <c r="H247" s="328">
        <v>0</v>
      </c>
      <c r="I247" s="210"/>
    </row>
    <row r="248" spans="1:9">
      <c r="A248" s="394" t="s">
        <v>1969</v>
      </c>
      <c r="B248" s="793" t="s">
        <v>616</v>
      </c>
      <c r="C248" s="310" t="s">
        <v>1466</v>
      </c>
      <c r="D248" s="321"/>
      <c r="E248" s="352"/>
      <c r="F248" s="352"/>
      <c r="G248" s="352"/>
      <c r="H248" s="352">
        <v>0</v>
      </c>
    </row>
    <row r="249" spans="1:9" ht="24">
      <c r="A249" s="395">
        <v>7</v>
      </c>
      <c r="B249" s="792">
        <v>305100350300000</v>
      </c>
      <c r="C249" s="313" t="s">
        <v>617</v>
      </c>
      <c r="D249" s="322"/>
      <c r="E249" s="328">
        <f t="shared" si="3"/>
        <v>0</v>
      </c>
      <c r="F249" s="347"/>
      <c r="G249" s="347"/>
      <c r="H249" s="328">
        <v>0</v>
      </c>
      <c r="I249" s="210"/>
    </row>
    <row r="250" spans="1:9">
      <c r="A250" s="394" t="s">
        <v>1969</v>
      </c>
      <c r="B250" s="793" t="s">
        <v>619</v>
      </c>
      <c r="C250" s="310" t="s">
        <v>1467</v>
      </c>
      <c r="D250" s="321"/>
      <c r="E250" s="352"/>
      <c r="F250" s="352"/>
      <c r="G250" s="352"/>
      <c r="H250" s="352">
        <v>0</v>
      </c>
    </row>
    <row r="251" spans="1:9" ht="25.5">
      <c r="A251" s="394" t="s">
        <v>1970</v>
      </c>
      <c r="B251" s="793" t="s">
        <v>621</v>
      </c>
      <c r="C251" s="310" t="s">
        <v>1468</v>
      </c>
      <c r="D251" s="321"/>
      <c r="E251" s="352"/>
      <c r="F251" s="352"/>
      <c r="G251" s="352"/>
      <c r="H251" s="352">
        <v>0</v>
      </c>
    </row>
    <row r="252" spans="1:9" ht="24">
      <c r="A252" s="395" t="s">
        <v>2017</v>
      </c>
      <c r="B252" s="792">
        <v>305100350401000</v>
      </c>
      <c r="C252" s="313" t="s">
        <v>620</v>
      </c>
      <c r="D252" s="322"/>
      <c r="E252" s="328">
        <f t="shared" si="3"/>
        <v>0</v>
      </c>
      <c r="F252" s="347"/>
      <c r="G252" s="347"/>
      <c r="H252" s="328">
        <v>0</v>
      </c>
      <c r="I252" s="210"/>
    </row>
    <row r="253" spans="1:9" ht="25.5">
      <c r="A253" s="394" t="s">
        <v>1970</v>
      </c>
      <c r="B253" s="793" t="s">
        <v>623</v>
      </c>
      <c r="C253" s="310" t="s">
        <v>1469</v>
      </c>
      <c r="D253" s="321"/>
      <c r="E253" s="352"/>
      <c r="F253" s="352"/>
      <c r="G253" s="352"/>
      <c r="H253" s="352">
        <v>0</v>
      </c>
    </row>
    <row r="254" spans="1:9" ht="24">
      <c r="A254" s="395" t="s">
        <v>2017</v>
      </c>
      <c r="B254" s="792">
        <v>305100350402000</v>
      </c>
      <c r="C254" s="313" t="s">
        <v>622</v>
      </c>
      <c r="D254" s="322"/>
      <c r="E254" s="328">
        <f t="shared" si="3"/>
        <v>0</v>
      </c>
      <c r="F254" s="347"/>
      <c r="G254" s="347"/>
      <c r="H254" s="328">
        <v>0</v>
      </c>
      <c r="I254" s="210"/>
    </row>
    <row r="255" spans="1:9" ht="25.5">
      <c r="A255" s="394" t="s">
        <v>1970</v>
      </c>
      <c r="B255" s="793" t="s">
        <v>625</v>
      </c>
      <c r="C255" s="310" t="s">
        <v>1470</v>
      </c>
      <c r="D255" s="321"/>
      <c r="E255" s="352"/>
      <c r="F255" s="352"/>
      <c r="G255" s="352"/>
      <c r="H255" s="352">
        <v>0</v>
      </c>
    </row>
    <row r="256" spans="1:9" ht="24">
      <c r="A256" s="395" t="s">
        <v>2017</v>
      </c>
      <c r="B256" s="792">
        <v>305100350403000</v>
      </c>
      <c r="C256" s="313" t="s">
        <v>624</v>
      </c>
      <c r="D256" s="322"/>
      <c r="E256" s="328">
        <f t="shared" si="3"/>
        <v>0</v>
      </c>
      <c r="F256" s="347"/>
      <c r="G256" s="347"/>
      <c r="H256" s="328">
        <v>0</v>
      </c>
      <c r="I256" s="210"/>
    </row>
    <row r="257" spans="1:9" ht="25.5">
      <c r="A257" s="394" t="s">
        <v>1970</v>
      </c>
      <c r="B257" s="793" t="s">
        <v>627</v>
      </c>
      <c r="C257" s="310" t="s">
        <v>1471</v>
      </c>
      <c r="D257" s="321"/>
      <c r="E257" s="352"/>
      <c r="F257" s="352"/>
      <c r="G257" s="352"/>
      <c r="H257" s="352">
        <v>0</v>
      </c>
    </row>
    <row r="258" spans="1:9">
      <c r="A258" s="395" t="s">
        <v>2017</v>
      </c>
      <c r="B258" s="792">
        <v>305100350404000</v>
      </c>
      <c r="C258" s="313" t="s">
        <v>626</v>
      </c>
      <c r="D258" s="322"/>
      <c r="E258" s="328">
        <f t="shared" si="3"/>
        <v>0</v>
      </c>
      <c r="F258" s="347"/>
      <c r="G258" s="347"/>
      <c r="H258" s="328">
        <v>0</v>
      </c>
      <c r="I258" s="210"/>
    </row>
    <row r="259" spans="1:9" ht="25.5">
      <c r="A259" s="394" t="s">
        <v>1969</v>
      </c>
      <c r="B259" s="793" t="s">
        <v>628</v>
      </c>
      <c r="C259" s="310" t="s">
        <v>1472</v>
      </c>
      <c r="D259" s="321"/>
      <c r="E259" s="352"/>
      <c r="F259" s="352"/>
      <c r="G259" s="352"/>
      <c r="H259" s="352">
        <v>0</v>
      </c>
    </row>
    <row r="260" spans="1:9" ht="24">
      <c r="A260" s="395" t="s">
        <v>1970</v>
      </c>
      <c r="B260" s="792">
        <v>305100350500000</v>
      </c>
      <c r="C260" s="313" t="s">
        <v>2169</v>
      </c>
      <c r="D260" s="322"/>
      <c r="E260" s="328">
        <f t="shared" si="3"/>
        <v>0</v>
      </c>
      <c r="F260" s="347"/>
      <c r="G260" s="347"/>
      <c r="H260" s="328">
        <v>0</v>
      </c>
      <c r="I260" s="210"/>
    </row>
    <row r="261" spans="1:9" ht="25.5">
      <c r="A261" s="394" t="s">
        <v>1967</v>
      </c>
      <c r="B261" s="793" t="s">
        <v>629</v>
      </c>
      <c r="C261" s="310" t="s">
        <v>2170</v>
      </c>
      <c r="D261" s="321"/>
      <c r="E261" s="352"/>
      <c r="F261" s="352"/>
      <c r="G261" s="352"/>
      <c r="H261" s="352">
        <v>0</v>
      </c>
    </row>
    <row r="262" spans="1:9" ht="25.5">
      <c r="A262" s="394" t="s">
        <v>1969</v>
      </c>
      <c r="B262" s="793" t="s">
        <v>630</v>
      </c>
      <c r="C262" s="310" t="s">
        <v>1474</v>
      </c>
      <c r="D262" s="321" t="s">
        <v>1248</v>
      </c>
      <c r="E262" s="352"/>
      <c r="F262" s="352"/>
      <c r="G262" s="352"/>
      <c r="H262" s="352">
        <v>0</v>
      </c>
    </row>
    <row r="263" spans="1:9" ht="24">
      <c r="A263" s="395" t="s">
        <v>1970</v>
      </c>
      <c r="B263" s="792">
        <v>305100400100000</v>
      </c>
      <c r="C263" s="313" t="s">
        <v>2171</v>
      </c>
      <c r="D263" s="322" t="s">
        <v>1248</v>
      </c>
      <c r="E263" s="328">
        <f t="shared" ref="E263:E325" si="4">+F263+G263</f>
        <v>0</v>
      </c>
      <c r="F263" s="347"/>
      <c r="G263" s="347"/>
      <c r="H263" s="328">
        <v>0</v>
      </c>
      <c r="I263" s="210"/>
    </row>
    <row r="264" spans="1:9">
      <c r="A264" s="394" t="s">
        <v>1969</v>
      </c>
      <c r="B264" s="793" t="s">
        <v>631</v>
      </c>
      <c r="C264" s="310" t="s">
        <v>1475</v>
      </c>
      <c r="D264" s="321"/>
      <c r="E264" s="352"/>
      <c r="F264" s="352"/>
      <c r="G264" s="352"/>
      <c r="H264" s="352">
        <v>0</v>
      </c>
    </row>
    <row r="265" spans="1:9" ht="24">
      <c r="A265" s="395" t="s">
        <v>1970</v>
      </c>
      <c r="B265" s="792">
        <v>305100400200000</v>
      </c>
      <c r="C265" s="313" t="s">
        <v>2172</v>
      </c>
      <c r="D265" s="322"/>
      <c r="E265" s="328">
        <f t="shared" si="4"/>
        <v>0</v>
      </c>
      <c r="F265" s="347"/>
      <c r="G265" s="347"/>
      <c r="H265" s="328">
        <v>0</v>
      </c>
      <c r="I265" s="210"/>
    </row>
    <row r="266" spans="1:9" ht="25.5">
      <c r="A266" s="394" t="s">
        <v>1969</v>
      </c>
      <c r="B266" s="793" t="s">
        <v>632</v>
      </c>
      <c r="C266" s="310" t="s">
        <v>1476</v>
      </c>
      <c r="D266" s="321"/>
      <c r="E266" s="352"/>
      <c r="F266" s="352"/>
      <c r="G266" s="352"/>
      <c r="H266" s="352">
        <v>0</v>
      </c>
    </row>
    <row r="267" spans="1:9" ht="24">
      <c r="A267" s="395" t="s">
        <v>1970</v>
      </c>
      <c r="B267" s="792">
        <v>305100400300000</v>
      </c>
      <c r="C267" s="313" t="s">
        <v>2173</v>
      </c>
      <c r="D267" s="322"/>
      <c r="E267" s="328">
        <f t="shared" si="4"/>
        <v>0</v>
      </c>
      <c r="F267" s="347"/>
      <c r="G267" s="347"/>
      <c r="H267" s="328">
        <v>0</v>
      </c>
      <c r="I267" s="210"/>
    </row>
    <row r="268" spans="1:9">
      <c r="A268" s="394" t="s">
        <v>1969</v>
      </c>
      <c r="B268" s="793" t="s">
        <v>633</v>
      </c>
      <c r="C268" s="310" t="s">
        <v>1477</v>
      </c>
      <c r="D268" s="321"/>
      <c r="E268" s="352"/>
      <c r="F268" s="352"/>
      <c r="G268" s="352"/>
      <c r="H268" s="352">
        <v>0</v>
      </c>
    </row>
    <row r="269" spans="1:9" ht="24">
      <c r="A269" s="395" t="s">
        <v>1970</v>
      </c>
      <c r="B269" s="792">
        <v>305100400400000</v>
      </c>
      <c r="C269" s="313" t="s">
        <v>2174</v>
      </c>
      <c r="D269" s="322"/>
      <c r="E269" s="328">
        <f t="shared" si="4"/>
        <v>0</v>
      </c>
      <c r="F269" s="347"/>
      <c r="G269" s="347"/>
      <c r="H269" s="328">
        <v>0</v>
      </c>
      <c r="I269" s="210"/>
    </row>
    <row r="270" spans="1:9">
      <c r="A270" s="394" t="s">
        <v>1969</v>
      </c>
      <c r="B270" s="793" t="s">
        <v>634</v>
      </c>
      <c r="C270" s="310" t="s">
        <v>1478</v>
      </c>
      <c r="D270" s="321"/>
      <c r="E270" s="352"/>
      <c r="F270" s="352"/>
      <c r="G270" s="352"/>
      <c r="H270" s="352">
        <v>0</v>
      </c>
    </row>
    <row r="271" spans="1:9" ht="24">
      <c r="A271" s="395" t="s">
        <v>1970</v>
      </c>
      <c r="B271" s="792">
        <v>305100400500000</v>
      </c>
      <c r="C271" s="313" t="s">
        <v>2175</v>
      </c>
      <c r="D271" s="322"/>
      <c r="E271" s="328">
        <f t="shared" si="4"/>
        <v>0</v>
      </c>
      <c r="F271" s="347"/>
      <c r="G271" s="347"/>
      <c r="H271" s="328">
        <v>0</v>
      </c>
      <c r="I271" s="210"/>
    </row>
    <row r="272" spans="1:9">
      <c r="A272" s="394" t="s">
        <v>1967</v>
      </c>
      <c r="B272" s="793" t="s">
        <v>635</v>
      </c>
      <c r="C272" s="310" t="s">
        <v>2176</v>
      </c>
      <c r="D272" s="321"/>
      <c r="E272" s="352"/>
      <c r="F272" s="352"/>
      <c r="G272" s="352"/>
      <c r="H272" s="352">
        <v>0</v>
      </c>
    </row>
    <row r="273" spans="1:9" ht="25.5">
      <c r="A273" s="394" t="s">
        <v>1969</v>
      </c>
      <c r="B273" s="793" t="s">
        <v>636</v>
      </c>
      <c r="C273" s="310" t="s">
        <v>1480</v>
      </c>
      <c r="D273" s="321" t="s">
        <v>1248</v>
      </c>
      <c r="E273" s="352"/>
      <c r="F273" s="352"/>
      <c r="G273" s="352"/>
      <c r="H273" s="352">
        <v>0</v>
      </c>
    </row>
    <row r="274" spans="1:9">
      <c r="A274" s="395">
        <v>7</v>
      </c>
      <c r="B274" s="792">
        <v>305100450101000</v>
      </c>
      <c r="C274" s="313" t="s">
        <v>637</v>
      </c>
      <c r="D274" s="322" t="s">
        <v>1248</v>
      </c>
      <c r="E274" s="328">
        <f t="shared" si="4"/>
        <v>0</v>
      </c>
      <c r="F274" s="347"/>
      <c r="G274" s="347"/>
      <c r="H274" s="328">
        <v>0</v>
      </c>
      <c r="I274" s="210"/>
    </row>
    <row r="275" spans="1:9">
      <c r="A275" s="395">
        <v>7</v>
      </c>
      <c r="B275" s="792">
        <v>305100450102000</v>
      </c>
      <c r="C275" s="313" t="s">
        <v>638</v>
      </c>
      <c r="D275" s="322" t="s">
        <v>1248</v>
      </c>
      <c r="E275" s="328">
        <f t="shared" si="4"/>
        <v>0</v>
      </c>
      <c r="F275" s="347"/>
      <c r="G275" s="347"/>
      <c r="H275" s="328">
        <v>0</v>
      </c>
      <c r="I275" s="210"/>
    </row>
    <row r="276" spans="1:9">
      <c r="A276" s="394" t="s">
        <v>1969</v>
      </c>
      <c r="B276" s="793" t="s">
        <v>639</v>
      </c>
      <c r="C276" s="310" t="s">
        <v>1481</v>
      </c>
      <c r="D276" s="321"/>
      <c r="E276" s="352"/>
      <c r="F276" s="352"/>
      <c r="G276" s="352"/>
      <c r="H276" s="352">
        <v>0</v>
      </c>
    </row>
    <row r="277" spans="1:9" ht="24">
      <c r="A277" s="395" t="s">
        <v>1970</v>
      </c>
      <c r="B277" s="792">
        <v>305100450200000</v>
      </c>
      <c r="C277" s="313" t="s">
        <v>2177</v>
      </c>
      <c r="D277" s="322"/>
      <c r="E277" s="328">
        <f t="shared" si="4"/>
        <v>0</v>
      </c>
      <c r="F277" s="347"/>
      <c r="G277" s="347"/>
      <c r="H277" s="328">
        <v>0</v>
      </c>
      <c r="I277" s="210"/>
    </row>
    <row r="278" spans="1:9">
      <c r="A278" s="394" t="s">
        <v>1969</v>
      </c>
      <c r="B278" s="793" t="s">
        <v>640</v>
      </c>
      <c r="C278" s="310" t="s">
        <v>1482</v>
      </c>
      <c r="D278" s="321"/>
      <c r="E278" s="352"/>
      <c r="F278" s="352"/>
      <c r="G278" s="352"/>
      <c r="H278" s="352">
        <v>0</v>
      </c>
    </row>
    <row r="279" spans="1:9" ht="24">
      <c r="A279" s="395" t="s">
        <v>1970</v>
      </c>
      <c r="B279" s="792">
        <v>305100450300000</v>
      </c>
      <c r="C279" s="313" t="s">
        <v>2178</v>
      </c>
      <c r="D279" s="322"/>
      <c r="E279" s="328">
        <f t="shared" si="4"/>
        <v>0</v>
      </c>
      <c r="F279" s="347"/>
      <c r="G279" s="347"/>
      <c r="H279" s="328">
        <v>0</v>
      </c>
      <c r="I279" s="210"/>
    </row>
    <row r="280" spans="1:9">
      <c r="A280" s="394" t="s">
        <v>1969</v>
      </c>
      <c r="B280" s="793" t="s">
        <v>641</v>
      </c>
      <c r="C280" s="310" t="s">
        <v>1483</v>
      </c>
      <c r="D280" s="321"/>
      <c r="E280" s="352"/>
      <c r="F280" s="352"/>
      <c r="G280" s="352"/>
      <c r="H280" s="352">
        <v>0</v>
      </c>
    </row>
    <row r="281" spans="1:9">
      <c r="A281" s="395">
        <v>7</v>
      </c>
      <c r="B281" s="794">
        <v>305100450409000</v>
      </c>
      <c r="C281" s="313" t="s">
        <v>2596</v>
      </c>
      <c r="D281" s="322"/>
      <c r="E281" s="328">
        <f t="shared" si="4"/>
        <v>0</v>
      </c>
      <c r="F281" s="347"/>
      <c r="G281" s="347"/>
      <c r="H281" s="328">
        <v>0</v>
      </c>
      <c r="I281" s="210"/>
    </row>
    <row r="282" spans="1:9">
      <c r="A282" s="394" t="s">
        <v>1969</v>
      </c>
      <c r="B282" s="793" t="s">
        <v>642</v>
      </c>
      <c r="C282" s="310" t="s">
        <v>1484</v>
      </c>
      <c r="D282" s="321"/>
      <c r="E282" s="352"/>
      <c r="F282" s="352"/>
      <c r="G282" s="352"/>
      <c r="H282" s="352">
        <v>0</v>
      </c>
    </row>
    <row r="283" spans="1:9" ht="24">
      <c r="A283" s="395" t="s">
        <v>1970</v>
      </c>
      <c r="B283" s="792">
        <v>305100450500000</v>
      </c>
      <c r="C283" s="313" t="s">
        <v>2179</v>
      </c>
      <c r="D283" s="322"/>
      <c r="E283" s="328">
        <f t="shared" si="4"/>
        <v>0</v>
      </c>
      <c r="F283" s="347"/>
      <c r="G283" s="347"/>
      <c r="H283" s="328">
        <v>0</v>
      </c>
      <c r="I283" s="210"/>
    </row>
    <row r="284" spans="1:9" ht="25.5">
      <c r="A284" s="394" t="s">
        <v>1969</v>
      </c>
      <c r="B284" s="793" t="s">
        <v>643</v>
      </c>
      <c r="C284" s="310" t="s">
        <v>1485</v>
      </c>
      <c r="D284" s="321"/>
      <c r="E284" s="352"/>
      <c r="F284" s="352"/>
      <c r="G284" s="352"/>
      <c r="H284" s="352">
        <v>0</v>
      </c>
    </row>
    <row r="285" spans="1:9" ht="36">
      <c r="A285" s="395" t="s">
        <v>1970</v>
      </c>
      <c r="B285" s="792">
        <v>305100450600000</v>
      </c>
      <c r="C285" s="313" t="s">
        <v>2180</v>
      </c>
      <c r="D285" s="322"/>
      <c r="E285" s="328">
        <f t="shared" si="4"/>
        <v>0</v>
      </c>
      <c r="F285" s="347"/>
      <c r="G285" s="347"/>
      <c r="H285" s="328">
        <v>0</v>
      </c>
      <c r="I285" s="210"/>
    </row>
    <row r="286" spans="1:9">
      <c r="A286" s="394" t="s">
        <v>1967</v>
      </c>
      <c r="B286" s="793" t="s">
        <v>644</v>
      </c>
      <c r="C286" s="310" t="s">
        <v>2181</v>
      </c>
      <c r="D286" s="321"/>
      <c r="E286" s="352"/>
      <c r="F286" s="352"/>
      <c r="G286" s="352"/>
      <c r="H286" s="352">
        <v>0</v>
      </c>
    </row>
    <row r="287" spans="1:9" ht="25.5">
      <c r="A287" s="394" t="s">
        <v>1969</v>
      </c>
      <c r="B287" s="793" t="s">
        <v>645</v>
      </c>
      <c r="C287" s="310" t="s">
        <v>1487</v>
      </c>
      <c r="D287" s="321" t="s">
        <v>1248</v>
      </c>
      <c r="E287" s="352"/>
      <c r="F287" s="352"/>
      <c r="G287" s="352"/>
      <c r="H287" s="352">
        <v>0</v>
      </c>
    </row>
    <row r="288" spans="1:9" ht="24">
      <c r="A288" s="395" t="s">
        <v>1970</v>
      </c>
      <c r="B288" s="792">
        <v>305100500100000</v>
      </c>
      <c r="C288" s="313" t="s">
        <v>2182</v>
      </c>
      <c r="D288" s="322" t="s">
        <v>1248</v>
      </c>
      <c r="E288" s="328">
        <f t="shared" si="4"/>
        <v>0</v>
      </c>
      <c r="F288" s="347"/>
      <c r="G288" s="347"/>
      <c r="H288" s="328">
        <v>0</v>
      </c>
      <c r="I288" s="210"/>
    </row>
    <row r="289" spans="1:9">
      <c r="A289" s="394" t="s">
        <v>1969</v>
      </c>
      <c r="B289" s="793" t="s">
        <v>646</v>
      </c>
      <c r="C289" s="310" t="s">
        <v>1488</v>
      </c>
      <c r="D289" s="321"/>
      <c r="E289" s="352"/>
      <c r="F289" s="352"/>
      <c r="G289" s="352"/>
      <c r="H289" s="352">
        <v>0</v>
      </c>
    </row>
    <row r="290" spans="1:9" ht="24">
      <c r="A290" s="395" t="s">
        <v>1970</v>
      </c>
      <c r="B290" s="792">
        <v>305100500200000</v>
      </c>
      <c r="C290" s="313" t="s">
        <v>2183</v>
      </c>
      <c r="D290" s="322"/>
      <c r="E290" s="328">
        <f t="shared" si="4"/>
        <v>0</v>
      </c>
      <c r="F290" s="347"/>
      <c r="G290" s="347"/>
      <c r="H290" s="328">
        <v>0</v>
      </c>
      <c r="I290" s="210"/>
    </row>
    <row r="291" spans="1:9">
      <c r="A291" s="394" t="s">
        <v>1969</v>
      </c>
      <c r="B291" s="793" t="s">
        <v>647</v>
      </c>
      <c r="C291" s="310" t="s">
        <v>1489</v>
      </c>
      <c r="D291" s="321"/>
      <c r="E291" s="352"/>
      <c r="F291" s="352"/>
      <c r="G291" s="352"/>
      <c r="H291" s="352">
        <v>0</v>
      </c>
    </row>
    <row r="292" spans="1:9">
      <c r="A292" s="395" t="s">
        <v>1970</v>
      </c>
      <c r="B292" s="792">
        <v>305100500300000</v>
      </c>
      <c r="C292" s="313" t="s">
        <v>2184</v>
      </c>
      <c r="D292" s="322"/>
      <c r="E292" s="328">
        <f t="shared" si="4"/>
        <v>0</v>
      </c>
      <c r="F292" s="347"/>
      <c r="G292" s="347"/>
      <c r="H292" s="328">
        <v>0</v>
      </c>
      <c r="I292" s="210"/>
    </row>
    <row r="293" spans="1:9">
      <c r="A293" s="394" t="s">
        <v>1969</v>
      </c>
      <c r="B293" s="793" t="s">
        <v>648</v>
      </c>
      <c r="C293" s="310" t="s">
        <v>1490</v>
      </c>
      <c r="D293" s="321"/>
      <c r="E293" s="352"/>
      <c r="F293" s="352"/>
      <c r="G293" s="352"/>
      <c r="H293" s="352">
        <v>0</v>
      </c>
    </row>
    <row r="294" spans="1:9">
      <c r="A294" s="395" t="s">
        <v>1970</v>
      </c>
      <c r="B294" s="792">
        <v>305100500400000</v>
      </c>
      <c r="C294" s="313" t="s">
        <v>2185</v>
      </c>
      <c r="D294" s="322"/>
      <c r="E294" s="328">
        <f t="shared" si="4"/>
        <v>0</v>
      </c>
      <c r="F294" s="347"/>
      <c r="G294" s="347"/>
      <c r="H294" s="328">
        <v>0</v>
      </c>
      <c r="I294" s="210"/>
    </row>
    <row r="295" spans="1:9" ht="25.5">
      <c r="A295" s="394" t="s">
        <v>1969</v>
      </c>
      <c r="B295" s="793" t="s">
        <v>649</v>
      </c>
      <c r="C295" s="310" t="s">
        <v>1491</v>
      </c>
      <c r="D295" s="321"/>
      <c r="E295" s="352"/>
      <c r="F295" s="352"/>
      <c r="G295" s="352"/>
      <c r="H295" s="352">
        <v>0</v>
      </c>
    </row>
    <row r="296" spans="1:9" ht="24">
      <c r="A296" s="395" t="s">
        <v>1970</v>
      </c>
      <c r="B296" s="792">
        <v>305100500500000</v>
      </c>
      <c r="C296" s="313" t="s">
        <v>2186</v>
      </c>
      <c r="D296" s="322"/>
      <c r="E296" s="328">
        <f t="shared" si="4"/>
        <v>0</v>
      </c>
      <c r="F296" s="347"/>
      <c r="G296" s="347"/>
      <c r="H296" s="328">
        <v>0</v>
      </c>
      <c r="I296" s="210"/>
    </row>
    <row r="297" spans="1:9">
      <c r="A297" s="394" t="s">
        <v>1967</v>
      </c>
      <c r="B297" s="793" t="s">
        <v>650</v>
      </c>
      <c r="C297" s="310" t="s">
        <v>2187</v>
      </c>
      <c r="D297" s="321"/>
      <c r="E297" s="352"/>
      <c r="F297" s="352"/>
      <c r="G297" s="352"/>
      <c r="H297" s="352">
        <v>0</v>
      </c>
    </row>
    <row r="298" spans="1:9" ht="25.5">
      <c r="A298" s="394" t="s">
        <v>1969</v>
      </c>
      <c r="B298" s="793" t="s">
        <v>651</v>
      </c>
      <c r="C298" s="310" t="s">
        <v>1493</v>
      </c>
      <c r="D298" s="321" t="s">
        <v>1248</v>
      </c>
      <c r="E298" s="352"/>
      <c r="F298" s="352"/>
      <c r="G298" s="352"/>
      <c r="H298" s="352">
        <v>0</v>
      </c>
    </row>
    <row r="299" spans="1:9" ht="24">
      <c r="A299" s="395" t="s">
        <v>1970</v>
      </c>
      <c r="B299" s="792">
        <v>305100550100000</v>
      </c>
      <c r="C299" s="313" t="s">
        <v>2188</v>
      </c>
      <c r="D299" s="322" t="s">
        <v>1248</v>
      </c>
      <c r="E299" s="328">
        <f t="shared" si="4"/>
        <v>0</v>
      </c>
      <c r="F299" s="347"/>
      <c r="G299" s="347"/>
      <c r="H299" s="328">
        <v>0</v>
      </c>
      <c r="I299" s="210"/>
    </row>
    <row r="300" spans="1:9">
      <c r="A300" s="394" t="s">
        <v>1969</v>
      </c>
      <c r="B300" s="793" t="s">
        <v>652</v>
      </c>
      <c r="C300" s="310" t="s">
        <v>1494</v>
      </c>
      <c r="D300" s="321"/>
      <c r="E300" s="352"/>
      <c r="F300" s="352"/>
      <c r="G300" s="352"/>
      <c r="H300" s="352">
        <v>0</v>
      </c>
    </row>
    <row r="301" spans="1:9" ht="24">
      <c r="A301" s="395" t="s">
        <v>1970</v>
      </c>
      <c r="B301" s="792">
        <v>305100550200000</v>
      </c>
      <c r="C301" s="313" t="s">
        <v>2189</v>
      </c>
      <c r="D301" s="322"/>
      <c r="E301" s="328">
        <f t="shared" si="4"/>
        <v>0</v>
      </c>
      <c r="F301" s="347"/>
      <c r="G301" s="347"/>
      <c r="H301" s="328">
        <v>0</v>
      </c>
      <c r="I301" s="210"/>
    </row>
    <row r="302" spans="1:9">
      <c r="A302" s="394" t="s">
        <v>1969</v>
      </c>
      <c r="B302" s="793" t="s">
        <v>653</v>
      </c>
      <c r="C302" s="310" t="s">
        <v>1495</v>
      </c>
      <c r="D302" s="321"/>
      <c r="E302" s="352"/>
      <c r="F302" s="352"/>
      <c r="G302" s="352"/>
      <c r="H302" s="352">
        <v>0</v>
      </c>
    </row>
    <row r="303" spans="1:9">
      <c r="A303" s="395" t="s">
        <v>1970</v>
      </c>
      <c r="B303" s="792">
        <v>305100550300000</v>
      </c>
      <c r="C303" s="313" t="s">
        <v>2190</v>
      </c>
      <c r="D303" s="322"/>
      <c r="E303" s="328">
        <f t="shared" si="4"/>
        <v>0</v>
      </c>
      <c r="F303" s="347"/>
      <c r="G303" s="347"/>
      <c r="H303" s="328">
        <v>0</v>
      </c>
      <c r="I303" s="210"/>
    </row>
    <row r="304" spans="1:9">
      <c r="A304" s="394" t="s">
        <v>1969</v>
      </c>
      <c r="B304" s="793" t="s">
        <v>654</v>
      </c>
      <c r="C304" s="310" t="s">
        <v>1496</v>
      </c>
      <c r="D304" s="321"/>
      <c r="E304" s="352"/>
      <c r="F304" s="352"/>
      <c r="G304" s="352"/>
      <c r="H304" s="352">
        <v>0</v>
      </c>
    </row>
    <row r="305" spans="1:9">
      <c r="A305" s="395">
        <v>7</v>
      </c>
      <c r="B305" s="792">
        <v>305100550401000</v>
      </c>
      <c r="C305" s="313" t="s">
        <v>655</v>
      </c>
      <c r="D305" s="322"/>
      <c r="E305" s="328">
        <f t="shared" si="4"/>
        <v>0</v>
      </c>
      <c r="F305" s="347"/>
      <c r="G305" s="347"/>
      <c r="H305" s="328">
        <v>0</v>
      </c>
      <c r="I305" s="210"/>
    </row>
    <row r="306" spans="1:9">
      <c r="A306" s="395">
        <v>7</v>
      </c>
      <c r="B306" s="792">
        <v>305100550402000</v>
      </c>
      <c r="C306" s="313" t="s">
        <v>656</v>
      </c>
      <c r="D306" s="322"/>
      <c r="E306" s="328">
        <f t="shared" si="4"/>
        <v>0</v>
      </c>
      <c r="F306" s="347"/>
      <c r="G306" s="347"/>
      <c r="H306" s="328">
        <v>0</v>
      </c>
      <c r="I306" s="210"/>
    </row>
    <row r="307" spans="1:9">
      <c r="A307" s="395">
        <v>7</v>
      </c>
      <c r="B307" s="792">
        <v>305100550403000</v>
      </c>
      <c r="C307" s="313" t="s">
        <v>657</v>
      </c>
      <c r="D307" s="322"/>
      <c r="E307" s="328">
        <f t="shared" si="4"/>
        <v>0</v>
      </c>
      <c r="F307" s="347"/>
      <c r="G307" s="347"/>
      <c r="H307" s="328">
        <v>0</v>
      </c>
      <c r="I307" s="210"/>
    </row>
    <row r="308" spans="1:9">
      <c r="A308" s="395">
        <v>7</v>
      </c>
      <c r="B308" s="792">
        <v>305100550404000</v>
      </c>
      <c r="C308" s="313" t="s">
        <v>658</v>
      </c>
      <c r="D308" s="322"/>
      <c r="E308" s="328">
        <f t="shared" si="4"/>
        <v>0</v>
      </c>
      <c r="F308" s="347"/>
      <c r="G308" s="347"/>
      <c r="H308" s="328">
        <v>0</v>
      </c>
      <c r="I308" s="210"/>
    </row>
    <row r="309" spans="1:9" ht="25.5">
      <c r="A309" s="394" t="s">
        <v>1967</v>
      </c>
      <c r="B309" s="793" t="s">
        <v>659</v>
      </c>
      <c r="C309" s="310" t="s">
        <v>2191</v>
      </c>
      <c r="D309" s="321"/>
      <c r="E309" s="352"/>
      <c r="F309" s="352"/>
      <c r="G309" s="352"/>
      <c r="H309" s="352">
        <v>0</v>
      </c>
    </row>
    <row r="310" spans="1:9" ht="25.5">
      <c r="A310" s="394" t="s">
        <v>1969</v>
      </c>
      <c r="B310" s="793" t="s">
        <v>660</v>
      </c>
      <c r="C310" s="310" t="s">
        <v>1498</v>
      </c>
      <c r="D310" s="321"/>
      <c r="E310" s="352"/>
      <c r="F310" s="352"/>
      <c r="G310" s="352"/>
      <c r="H310" s="352">
        <v>0</v>
      </c>
    </row>
    <row r="311" spans="1:9">
      <c r="A311" s="394" t="s">
        <v>1970</v>
      </c>
      <c r="B311" s="793" t="s">
        <v>662</v>
      </c>
      <c r="C311" s="310" t="s">
        <v>2192</v>
      </c>
      <c r="D311" s="321" t="s">
        <v>1248</v>
      </c>
      <c r="E311" s="352"/>
      <c r="F311" s="352"/>
      <c r="G311" s="352"/>
      <c r="H311" s="352">
        <v>0</v>
      </c>
    </row>
    <row r="312" spans="1:9">
      <c r="A312" s="395" t="s">
        <v>2017</v>
      </c>
      <c r="B312" s="792">
        <v>305100600101000</v>
      </c>
      <c r="C312" s="313" t="s">
        <v>661</v>
      </c>
      <c r="D312" s="322" t="s">
        <v>1248</v>
      </c>
      <c r="E312" s="328">
        <f t="shared" si="4"/>
        <v>0</v>
      </c>
      <c r="F312" s="347"/>
      <c r="G312" s="347"/>
      <c r="H312" s="328">
        <v>0</v>
      </c>
      <c r="I312" s="210"/>
    </row>
    <row r="313" spans="1:9" ht="25.5">
      <c r="A313" s="394" t="s">
        <v>1970</v>
      </c>
      <c r="B313" s="793" t="s">
        <v>663</v>
      </c>
      <c r="C313" s="310" t="s">
        <v>1500</v>
      </c>
      <c r="D313" s="321" t="s">
        <v>1248</v>
      </c>
      <c r="E313" s="352"/>
      <c r="F313" s="352"/>
      <c r="G313" s="352"/>
      <c r="H313" s="352">
        <v>0</v>
      </c>
    </row>
    <row r="314" spans="1:9">
      <c r="A314" s="395" t="s">
        <v>2017</v>
      </c>
      <c r="B314" s="792">
        <v>305100600102000</v>
      </c>
      <c r="C314" s="313" t="s">
        <v>2193</v>
      </c>
      <c r="D314" s="322" t="s">
        <v>1248</v>
      </c>
      <c r="E314" s="328">
        <f t="shared" si="4"/>
        <v>0</v>
      </c>
      <c r="F314" s="347"/>
      <c r="G314" s="347"/>
      <c r="H314" s="328">
        <v>0</v>
      </c>
      <c r="I314" s="210"/>
    </row>
    <row r="315" spans="1:9" ht="25.5">
      <c r="A315" s="394" t="s">
        <v>1969</v>
      </c>
      <c r="B315" s="793" t="s">
        <v>664</v>
      </c>
      <c r="C315" s="310" t="s">
        <v>1501</v>
      </c>
      <c r="D315" s="321"/>
      <c r="E315" s="352"/>
      <c r="F315" s="352"/>
      <c r="G315" s="352"/>
      <c r="H315" s="352">
        <v>0</v>
      </c>
    </row>
    <row r="316" spans="1:9">
      <c r="A316" s="395">
        <v>7</v>
      </c>
      <c r="B316" s="792">
        <v>305100600201000</v>
      </c>
      <c r="C316" s="313" t="s">
        <v>2194</v>
      </c>
      <c r="D316" s="322"/>
      <c r="E316" s="328">
        <f t="shared" si="4"/>
        <v>0</v>
      </c>
      <c r="F316" s="347"/>
      <c r="G316" s="347"/>
      <c r="H316" s="328">
        <v>0</v>
      </c>
      <c r="I316" s="210"/>
    </row>
    <row r="317" spans="1:9" ht="24">
      <c r="A317" s="395">
        <v>7</v>
      </c>
      <c r="B317" s="792">
        <v>305100600202000</v>
      </c>
      <c r="C317" s="313" t="s">
        <v>2195</v>
      </c>
      <c r="D317" s="322"/>
      <c r="E317" s="328">
        <f t="shared" si="4"/>
        <v>0</v>
      </c>
      <c r="F317" s="347"/>
      <c r="G317" s="347"/>
      <c r="H317" s="328">
        <v>0</v>
      </c>
      <c r="I317" s="210"/>
    </row>
    <row r="318" spans="1:9" ht="24">
      <c r="A318" s="395">
        <v>7</v>
      </c>
      <c r="B318" s="792">
        <v>305100600203000</v>
      </c>
      <c r="C318" s="313" t="s">
        <v>2196</v>
      </c>
      <c r="D318" s="322"/>
      <c r="E318" s="328">
        <f t="shared" si="4"/>
        <v>0</v>
      </c>
      <c r="F318" s="347"/>
      <c r="G318" s="347"/>
      <c r="H318" s="328">
        <v>0</v>
      </c>
      <c r="I318" s="210"/>
    </row>
    <row r="319" spans="1:9" ht="24">
      <c r="A319" s="395">
        <v>7</v>
      </c>
      <c r="B319" s="792">
        <v>305100600209000</v>
      </c>
      <c r="C319" s="313" t="s">
        <v>668</v>
      </c>
      <c r="D319" s="322"/>
      <c r="E319" s="328">
        <f t="shared" si="4"/>
        <v>0</v>
      </c>
      <c r="F319" s="348"/>
      <c r="G319" s="348"/>
      <c r="H319" s="328">
        <v>0</v>
      </c>
      <c r="I319" s="210"/>
    </row>
    <row r="320" spans="1:9" ht="38.25">
      <c r="A320" s="394" t="s">
        <v>1969</v>
      </c>
      <c r="B320" s="793" t="s">
        <v>669</v>
      </c>
      <c r="C320" s="310" t="s">
        <v>1502</v>
      </c>
      <c r="D320" s="321"/>
      <c r="E320" s="352"/>
      <c r="F320" s="352"/>
      <c r="G320" s="352"/>
      <c r="H320" s="352">
        <v>0</v>
      </c>
    </row>
    <row r="321" spans="1:9" ht="36">
      <c r="A321" s="395" t="s">
        <v>1970</v>
      </c>
      <c r="B321" s="792">
        <v>305100600250000</v>
      </c>
      <c r="C321" s="313" t="s">
        <v>2197</v>
      </c>
      <c r="D321" s="322"/>
      <c r="E321" s="328">
        <f t="shared" si="4"/>
        <v>0</v>
      </c>
      <c r="F321" s="347"/>
      <c r="G321" s="347"/>
      <c r="H321" s="328">
        <v>0</v>
      </c>
      <c r="I321" s="210"/>
    </row>
    <row r="322" spans="1:9" ht="25.5">
      <c r="A322" s="394" t="s">
        <v>1969</v>
      </c>
      <c r="B322" s="793" t="s">
        <v>670</v>
      </c>
      <c r="C322" s="310" t="s">
        <v>1503</v>
      </c>
      <c r="D322" s="321"/>
      <c r="E322" s="352"/>
      <c r="F322" s="352"/>
      <c r="G322" s="352"/>
      <c r="H322" s="352">
        <v>0</v>
      </c>
    </row>
    <row r="323" spans="1:9" ht="36">
      <c r="A323" s="395" t="s">
        <v>1970</v>
      </c>
      <c r="B323" s="792">
        <v>305100600300000</v>
      </c>
      <c r="C323" s="313" t="s">
        <v>2198</v>
      </c>
      <c r="D323" s="322"/>
      <c r="E323" s="328">
        <f t="shared" si="4"/>
        <v>0</v>
      </c>
      <c r="F323" s="347"/>
      <c r="G323" s="347"/>
      <c r="H323" s="328">
        <v>0</v>
      </c>
      <c r="I323" s="210"/>
    </row>
    <row r="324" spans="1:9" ht="24">
      <c r="A324" s="395">
        <v>7</v>
      </c>
      <c r="B324" s="794">
        <v>305100600301000</v>
      </c>
      <c r="C324" s="313" t="s">
        <v>567</v>
      </c>
      <c r="D324" s="322"/>
      <c r="E324" s="329">
        <f t="shared" si="4"/>
        <v>0</v>
      </c>
      <c r="F324" s="348"/>
      <c r="G324" s="348"/>
      <c r="H324" s="329">
        <v>0</v>
      </c>
      <c r="I324" s="210"/>
    </row>
    <row r="325" spans="1:9" ht="24">
      <c r="A325" s="395">
        <v>7</v>
      </c>
      <c r="B325" s="792">
        <v>305100600302000</v>
      </c>
      <c r="C325" s="313" t="s">
        <v>618</v>
      </c>
      <c r="D325" s="322"/>
      <c r="E325" s="329">
        <f t="shared" si="4"/>
        <v>0</v>
      </c>
      <c r="F325" s="348"/>
      <c r="G325" s="348"/>
      <c r="H325" s="329">
        <v>0</v>
      </c>
      <c r="I325" s="210"/>
    </row>
    <row r="326" spans="1:9">
      <c r="A326" s="394" t="s">
        <v>1969</v>
      </c>
      <c r="B326" s="793" t="s">
        <v>671</v>
      </c>
      <c r="C326" s="310" t="s">
        <v>1504</v>
      </c>
      <c r="D326" s="321"/>
      <c r="E326" s="352"/>
      <c r="F326" s="352"/>
      <c r="G326" s="352"/>
      <c r="H326" s="352">
        <v>0</v>
      </c>
    </row>
    <row r="327" spans="1:9">
      <c r="A327" s="395" t="s">
        <v>1970</v>
      </c>
      <c r="B327" s="792">
        <v>305100600401000</v>
      </c>
      <c r="C327" s="313" t="s">
        <v>672</v>
      </c>
      <c r="D327" s="322"/>
      <c r="E327" s="328">
        <f t="shared" ref="E327:E389" si="5">+F327+G327</f>
        <v>0</v>
      </c>
      <c r="F327" s="348"/>
      <c r="G327" s="348"/>
      <c r="H327" s="328">
        <v>0</v>
      </c>
      <c r="I327" s="210"/>
    </row>
    <row r="328" spans="1:9">
      <c r="A328" s="395" t="s">
        <v>1970</v>
      </c>
      <c r="B328" s="792">
        <v>305100600402000</v>
      </c>
      <c r="C328" s="313" t="s">
        <v>673</v>
      </c>
      <c r="D328" s="322"/>
      <c r="E328" s="328">
        <f t="shared" si="5"/>
        <v>0</v>
      </c>
      <c r="F328" s="347"/>
      <c r="G328" s="347"/>
      <c r="H328" s="328">
        <v>0</v>
      </c>
      <c r="I328" s="210"/>
    </row>
    <row r="329" spans="1:9">
      <c r="A329" s="395" t="s">
        <v>1970</v>
      </c>
      <c r="B329" s="792">
        <v>305100600403000</v>
      </c>
      <c r="C329" s="313" t="s">
        <v>665</v>
      </c>
      <c r="D329" s="322"/>
      <c r="E329" s="328">
        <f t="shared" si="5"/>
        <v>0</v>
      </c>
      <c r="F329" s="347"/>
      <c r="G329" s="347"/>
      <c r="H329" s="328">
        <v>0</v>
      </c>
      <c r="I329" s="210"/>
    </row>
    <row r="330" spans="1:9" ht="24">
      <c r="A330" s="395" t="s">
        <v>1970</v>
      </c>
      <c r="B330" s="792">
        <v>305100600404000</v>
      </c>
      <c r="C330" s="313" t="s">
        <v>666</v>
      </c>
      <c r="D330" s="322"/>
      <c r="E330" s="328">
        <f t="shared" si="5"/>
        <v>0</v>
      </c>
      <c r="F330" s="347"/>
      <c r="G330" s="347"/>
      <c r="H330" s="328">
        <v>0</v>
      </c>
      <c r="I330" s="210"/>
    </row>
    <row r="331" spans="1:9">
      <c r="A331" s="395" t="s">
        <v>1970</v>
      </c>
      <c r="B331" s="792">
        <v>305100600405000</v>
      </c>
      <c r="C331" s="313" t="s">
        <v>667</v>
      </c>
      <c r="D331" s="322"/>
      <c r="E331" s="328">
        <f t="shared" si="5"/>
        <v>0</v>
      </c>
      <c r="F331" s="347"/>
      <c r="G331" s="347"/>
      <c r="H331" s="328">
        <v>0</v>
      </c>
      <c r="I331" s="210"/>
    </row>
    <row r="332" spans="1:9" ht="24">
      <c r="A332" s="395" t="s">
        <v>1970</v>
      </c>
      <c r="B332" s="792">
        <v>305100600406000</v>
      </c>
      <c r="C332" s="313" t="s">
        <v>2199</v>
      </c>
      <c r="D332" s="322"/>
      <c r="E332" s="328">
        <f t="shared" si="5"/>
        <v>0</v>
      </c>
      <c r="F332" s="347"/>
      <c r="G332" s="347"/>
      <c r="H332" s="328">
        <v>0</v>
      </c>
      <c r="I332" s="210"/>
    </row>
    <row r="333" spans="1:9">
      <c r="A333" s="395" t="s">
        <v>1970</v>
      </c>
      <c r="B333" s="792">
        <v>305100600407000</v>
      </c>
      <c r="C333" s="313" t="s">
        <v>674</v>
      </c>
      <c r="D333" s="322"/>
      <c r="E333" s="328">
        <f t="shared" si="5"/>
        <v>0</v>
      </c>
      <c r="F333" s="347"/>
      <c r="G333" s="347"/>
      <c r="H333" s="328">
        <v>0</v>
      </c>
      <c r="I333" s="210"/>
    </row>
    <row r="334" spans="1:9">
      <c r="A334" s="395" t="s">
        <v>1970</v>
      </c>
      <c r="B334" s="792">
        <v>305100600409000</v>
      </c>
      <c r="C334" s="313" t="s">
        <v>675</v>
      </c>
      <c r="D334" s="322"/>
      <c r="E334" s="328">
        <f t="shared" si="5"/>
        <v>0</v>
      </c>
      <c r="F334" s="347"/>
      <c r="G334" s="347"/>
      <c r="H334" s="328">
        <v>0</v>
      </c>
      <c r="I334" s="210"/>
    </row>
    <row r="335" spans="1:9">
      <c r="A335" s="394" t="s">
        <v>1969</v>
      </c>
      <c r="B335" s="793" t="s">
        <v>676</v>
      </c>
      <c r="C335" s="310" t="s">
        <v>1505</v>
      </c>
      <c r="D335" s="321"/>
      <c r="E335" s="352"/>
      <c r="F335" s="352"/>
      <c r="G335" s="352"/>
      <c r="H335" s="352">
        <v>0</v>
      </c>
    </row>
    <row r="336" spans="1:9" ht="24">
      <c r="A336" s="395" t="s">
        <v>1970</v>
      </c>
      <c r="B336" s="792">
        <v>305100600501000</v>
      </c>
      <c r="C336" s="313" t="s">
        <v>2200</v>
      </c>
      <c r="D336" s="322"/>
      <c r="E336" s="328">
        <f t="shared" si="5"/>
        <v>0</v>
      </c>
      <c r="F336" s="347"/>
      <c r="G336" s="347"/>
      <c r="H336" s="328">
        <v>0</v>
      </c>
      <c r="I336" s="210"/>
    </row>
    <row r="337" spans="1:9">
      <c r="A337" s="395" t="s">
        <v>1970</v>
      </c>
      <c r="B337" s="792">
        <v>305100600509000</v>
      </c>
      <c r="C337" s="313" t="s">
        <v>677</v>
      </c>
      <c r="D337" s="322"/>
      <c r="E337" s="328">
        <f t="shared" si="5"/>
        <v>0</v>
      </c>
      <c r="F337" s="347"/>
      <c r="G337" s="347"/>
      <c r="H337" s="328">
        <v>0</v>
      </c>
      <c r="I337" s="210"/>
    </row>
    <row r="338" spans="1:9" ht="25.5">
      <c r="A338" s="394" t="s">
        <v>1967</v>
      </c>
      <c r="B338" s="793" t="s">
        <v>678</v>
      </c>
      <c r="C338" s="310" t="s">
        <v>2201</v>
      </c>
      <c r="D338" s="321"/>
      <c r="E338" s="352"/>
      <c r="F338" s="352"/>
      <c r="G338" s="352"/>
      <c r="H338" s="352">
        <v>0</v>
      </c>
    </row>
    <row r="339" spans="1:9" ht="25.5">
      <c r="A339" s="394" t="s">
        <v>1969</v>
      </c>
      <c r="B339" s="793" t="s">
        <v>680</v>
      </c>
      <c r="C339" s="310" t="s">
        <v>2202</v>
      </c>
      <c r="D339" s="321"/>
      <c r="E339" s="352"/>
      <c r="F339" s="352"/>
      <c r="G339" s="352"/>
      <c r="H339" s="352">
        <v>0</v>
      </c>
    </row>
    <row r="340" spans="1:9" ht="24">
      <c r="A340" s="395" t="s">
        <v>1970</v>
      </c>
      <c r="B340" s="792">
        <v>305100650100000</v>
      </c>
      <c r="C340" s="313" t="s">
        <v>679</v>
      </c>
      <c r="D340" s="322"/>
      <c r="E340" s="328">
        <f t="shared" si="5"/>
        <v>0</v>
      </c>
      <c r="F340" s="347"/>
      <c r="G340" s="347"/>
      <c r="H340" s="328">
        <v>0</v>
      </c>
      <c r="I340" s="210"/>
    </row>
    <row r="341" spans="1:9" ht="25.5">
      <c r="A341" s="394" t="s">
        <v>1969</v>
      </c>
      <c r="B341" s="793" t="s">
        <v>682</v>
      </c>
      <c r="C341" s="310" t="s">
        <v>2203</v>
      </c>
      <c r="D341" s="321"/>
      <c r="E341" s="352"/>
      <c r="F341" s="352"/>
      <c r="G341" s="352"/>
      <c r="H341" s="352">
        <v>0</v>
      </c>
    </row>
    <row r="342" spans="1:9" ht="24">
      <c r="A342" s="395" t="s">
        <v>1970</v>
      </c>
      <c r="B342" s="792">
        <v>305100650200000</v>
      </c>
      <c r="C342" s="313" t="s">
        <v>681</v>
      </c>
      <c r="D342" s="322"/>
      <c r="E342" s="328">
        <f t="shared" si="5"/>
        <v>0</v>
      </c>
      <c r="F342" s="347"/>
      <c r="G342" s="347"/>
      <c r="H342" s="328">
        <v>0</v>
      </c>
      <c r="I342" s="210"/>
    </row>
    <row r="343" spans="1:9" ht="25.5">
      <c r="A343" s="394" t="s">
        <v>1969</v>
      </c>
      <c r="B343" s="793" t="s">
        <v>684</v>
      </c>
      <c r="C343" s="310" t="s">
        <v>2204</v>
      </c>
      <c r="D343" s="321"/>
      <c r="E343" s="352"/>
      <c r="F343" s="352"/>
      <c r="G343" s="352"/>
      <c r="H343" s="352">
        <v>0</v>
      </c>
    </row>
    <row r="344" spans="1:9" ht="24">
      <c r="A344" s="395" t="s">
        <v>1970</v>
      </c>
      <c r="B344" s="792">
        <v>305100650300000</v>
      </c>
      <c r="C344" s="313" t="s">
        <v>683</v>
      </c>
      <c r="D344" s="322"/>
      <c r="E344" s="328">
        <f t="shared" si="5"/>
        <v>0</v>
      </c>
      <c r="F344" s="347"/>
      <c r="G344" s="347"/>
      <c r="H344" s="328">
        <v>0</v>
      </c>
      <c r="I344" s="210"/>
    </row>
    <row r="345" spans="1:9" ht="38.25">
      <c r="A345" s="394" t="s">
        <v>1969</v>
      </c>
      <c r="B345" s="793" t="s">
        <v>685</v>
      </c>
      <c r="C345" s="310" t="s">
        <v>2205</v>
      </c>
      <c r="D345" s="321"/>
      <c r="E345" s="352"/>
      <c r="F345" s="352"/>
      <c r="G345" s="352"/>
      <c r="H345" s="352">
        <v>0</v>
      </c>
    </row>
    <row r="346" spans="1:9" ht="24">
      <c r="A346" s="395" t="s">
        <v>1970</v>
      </c>
      <c r="B346" s="792">
        <v>305100650401000</v>
      </c>
      <c r="C346" s="313" t="s">
        <v>686</v>
      </c>
      <c r="D346" s="322"/>
      <c r="E346" s="328">
        <f t="shared" si="5"/>
        <v>0</v>
      </c>
      <c r="F346" s="347"/>
      <c r="G346" s="347"/>
      <c r="H346" s="328">
        <v>0</v>
      </c>
      <c r="I346" s="210"/>
    </row>
    <row r="347" spans="1:9" ht="24">
      <c r="A347" s="395" t="s">
        <v>1970</v>
      </c>
      <c r="B347" s="792">
        <v>305100650402000</v>
      </c>
      <c r="C347" s="313" t="s">
        <v>687</v>
      </c>
      <c r="D347" s="322"/>
      <c r="E347" s="328">
        <f t="shared" si="5"/>
        <v>0</v>
      </c>
      <c r="F347" s="347"/>
      <c r="G347" s="347"/>
      <c r="H347" s="328">
        <v>0</v>
      </c>
      <c r="I347" s="210"/>
    </row>
    <row r="348" spans="1:9" ht="24">
      <c r="A348" s="395" t="s">
        <v>1970</v>
      </c>
      <c r="B348" s="792">
        <v>305100650403000</v>
      </c>
      <c r="C348" s="313" t="s">
        <v>688</v>
      </c>
      <c r="D348" s="322"/>
      <c r="E348" s="328">
        <f t="shared" si="5"/>
        <v>0</v>
      </c>
      <c r="F348" s="347"/>
      <c r="G348" s="347"/>
      <c r="H348" s="328">
        <v>0</v>
      </c>
      <c r="I348" s="210"/>
    </row>
    <row r="349" spans="1:9" ht="36">
      <c r="A349" s="395" t="s">
        <v>1970</v>
      </c>
      <c r="B349" s="792">
        <v>305100650409000</v>
      </c>
      <c r="C349" s="313" t="s">
        <v>2206</v>
      </c>
      <c r="D349" s="322"/>
      <c r="E349" s="328">
        <f t="shared" si="5"/>
        <v>0</v>
      </c>
      <c r="F349" s="347"/>
      <c r="G349" s="347"/>
      <c r="H349" s="328">
        <v>0</v>
      </c>
      <c r="I349" s="210"/>
    </row>
    <row r="350" spans="1:9" ht="51">
      <c r="A350" s="394" t="s">
        <v>1969</v>
      </c>
      <c r="B350" s="793" t="s">
        <v>689</v>
      </c>
      <c r="C350" s="310" t="s">
        <v>2207</v>
      </c>
      <c r="D350" s="321" t="s">
        <v>1248</v>
      </c>
      <c r="E350" s="352"/>
      <c r="F350" s="352"/>
      <c r="G350" s="352"/>
      <c r="H350" s="352">
        <v>0</v>
      </c>
    </row>
    <row r="351" spans="1:9" ht="24">
      <c r="A351" s="395" t="s">
        <v>1970</v>
      </c>
      <c r="B351" s="792">
        <v>305100650501000</v>
      </c>
      <c r="C351" s="313" t="s">
        <v>2208</v>
      </c>
      <c r="D351" s="322" t="s">
        <v>1248</v>
      </c>
      <c r="E351" s="328">
        <f t="shared" si="5"/>
        <v>0</v>
      </c>
      <c r="F351" s="347"/>
      <c r="G351" s="347"/>
      <c r="H351" s="328">
        <v>0</v>
      </c>
      <c r="I351" s="210"/>
    </row>
    <row r="352" spans="1:9" ht="36">
      <c r="A352" s="395" t="s">
        <v>1970</v>
      </c>
      <c r="B352" s="792">
        <v>305100650502000</v>
      </c>
      <c r="C352" s="313" t="s">
        <v>2209</v>
      </c>
      <c r="D352" s="322" t="s">
        <v>1248</v>
      </c>
      <c r="E352" s="328">
        <f t="shared" si="5"/>
        <v>0</v>
      </c>
      <c r="F352" s="347"/>
      <c r="G352" s="347"/>
      <c r="H352" s="328">
        <v>0</v>
      </c>
      <c r="I352" s="210"/>
    </row>
    <row r="353" spans="1:9" ht="24">
      <c r="A353" s="395" t="s">
        <v>1970</v>
      </c>
      <c r="B353" s="792">
        <v>305100650503000</v>
      </c>
      <c r="C353" s="313" t="s">
        <v>2210</v>
      </c>
      <c r="D353" s="322" t="s">
        <v>1248</v>
      </c>
      <c r="E353" s="328">
        <f t="shared" si="5"/>
        <v>0</v>
      </c>
      <c r="F353" s="347"/>
      <c r="G353" s="347"/>
      <c r="H353" s="328">
        <v>0</v>
      </c>
      <c r="I353" s="210"/>
    </row>
    <row r="354" spans="1:9" ht="36">
      <c r="A354" s="395" t="s">
        <v>1970</v>
      </c>
      <c r="B354" s="792">
        <v>305100650509000</v>
      </c>
      <c r="C354" s="313" t="s">
        <v>2211</v>
      </c>
      <c r="D354" s="322" t="s">
        <v>1248</v>
      </c>
      <c r="E354" s="328">
        <f t="shared" si="5"/>
        <v>0</v>
      </c>
      <c r="F354" s="347"/>
      <c r="G354" s="347"/>
      <c r="H354" s="328">
        <v>0</v>
      </c>
      <c r="I354" s="210"/>
    </row>
    <row r="355" spans="1:9" ht="25.5">
      <c r="A355" s="394" t="s">
        <v>1969</v>
      </c>
      <c r="B355" s="793" t="s">
        <v>690</v>
      </c>
      <c r="C355" s="310" t="s">
        <v>2212</v>
      </c>
      <c r="D355" s="321"/>
      <c r="E355" s="352"/>
      <c r="F355" s="352"/>
      <c r="G355" s="352"/>
      <c r="H355" s="352">
        <v>0</v>
      </c>
    </row>
    <row r="356" spans="1:9" ht="24">
      <c r="A356" s="395" t="s">
        <v>1970</v>
      </c>
      <c r="B356" s="792">
        <v>305100650600500</v>
      </c>
      <c r="C356" s="313" t="s">
        <v>691</v>
      </c>
      <c r="D356" s="322"/>
      <c r="E356" s="328">
        <f t="shared" si="5"/>
        <v>0</v>
      </c>
      <c r="F356" s="347"/>
      <c r="G356" s="347"/>
      <c r="H356" s="328">
        <v>0</v>
      </c>
      <c r="I356" s="210"/>
    </row>
    <row r="357" spans="1:9" ht="24">
      <c r="A357" s="395" t="s">
        <v>1970</v>
      </c>
      <c r="B357" s="792">
        <v>305100650601000</v>
      </c>
      <c r="C357" s="313" t="s">
        <v>2213</v>
      </c>
      <c r="D357" s="322"/>
      <c r="E357" s="328">
        <f t="shared" si="5"/>
        <v>0</v>
      </c>
      <c r="F357" s="347"/>
      <c r="G357" s="347"/>
      <c r="H357" s="328">
        <v>0</v>
      </c>
      <c r="I357" s="210"/>
    </row>
    <row r="358" spans="1:9" ht="24">
      <c r="A358" s="395" t="s">
        <v>1970</v>
      </c>
      <c r="B358" s="792">
        <v>305100650601500</v>
      </c>
      <c r="C358" s="313" t="s">
        <v>2214</v>
      </c>
      <c r="D358" s="322"/>
      <c r="E358" s="328">
        <f t="shared" si="5"/>
        <v>0</v>
      </c>
      <c r="F358" s="347"/>
      <c r="G358" s="347"/>
      <c r="H358" s="328">
        <v>0</v>
      </c>
      <c r="I358" s="210"/>
    </row>
    <row r="359" spans="1:9" ht="24">
      <c r="A359" s="395" t="s">
        <v>1970</v>
      </c>
      <c r="B359" s="792">
        <v>305100650602000</v>
      </c>
      <c r="C359" s="313" t="s">
        <v>692</v>
      </c>
      <c r="D359" s="322"/>
      <c r="E359" s="328">
        <f t="shared" si="5"/>
        <v>0</v>
      </c>
      <c r="F359" s="347"/>
      <c r="G359" s="347"/>
      <c r="H359" s="328">
        <v>0</v>
      </c>
      <c r="I359" s="210"/>
    </row>
    <row r="360" spans="1:9" ht="24">
      <c r="A360" s="395" t="s">
        <v>1970</v>
      </c>
      <c r="B360" s="792">
        <v>305100650602500</v>
      </c>
      <c r="C360" s="313" t="s">
        <v>693</v>
      </c>
      <c r="D360" s="322"/>
      <c r="E360" s="328">
        <f t="shared" si="5"/>
        <v>0</v>
      </c>
      <c r="F360" s="347"/>
      <c r="G360" s="347"/>
      <c r="H360" s="328">
        <v>0</v>
      </c>
      <c r="I360" s="210"/>
    </row>
    <row r="361" spans="1:9" ht="24">
      <c r="A361" s="395" t="s">
        <v>1970</v>
      </c>
      <c r="B361" s="792">
        <v>305100650603000</v>
      </c>
      <c r="C361" s="313" t="s">
        <v>694</v>
      </c>
      <c r="D361" s="322"/>
      <c r="E361" s="328">
        <f t="shared" si="5"/>
        <v>0</v>
      </c>
      <c r="F361" s="347"/>
      <c r="G361" s="347"/>
      <c r="H361" s="328">
        <v>0</v>
      </c>
      <c r="I361" s="210"/>
    </row>
    <row r="362" spans="1:9" ht="24">
      <c r="A362" s="395" t="s">
        <v>1970</v>
      </c>
      <c r="B362" s="792">
        <v>305100650603500</v>
      </c>
      <c r="C362" s="313" t="s">
        <v>2215</v>
      </c>
      <c r="D362" s="322"/>
      <c r="E362" s="328">
        <f t="shared" si="5"/>
        <v>0</v>
      </c>
      <c r="F362" s="347"/>
      <c r="G362" s="347"/>
      <c r="H362" s="328">
        <v>0</v>
      </c>
      <c r="I362" s="210"/>
    </row>
    <row r="363" spans="1:9">
      <c r="A363" s="395" t="s">
        <v>1970</v>
      </c>
      <c r="B363" s="792">
        <v>305100650604000</v>
      </c>
      <c r="C363" s="313" t="s">
        <v>695</v>
      </c>
      <c r="D363" s="322"/>
      <c r="E363" s="328">
        <f t="shared" si="5"/>
        <v>0</v>
      </c>
      <c r="F363" s="347"/>
      <c r="G363" s="347"/>
      <c r="H363" s="328">
        <v>0</v>
      </c>
      <c r="I363" s="210"/>
    </row>
    <row r="364" spans="1:9">
      <c r="A364" s="395" t="s">
        <v>1970</v>
      </c>
      <c r="B364" s="792">
        <v>305100650604500</v>
      </c>
      <c r="C364" s="313" t="s">
        <v>696</v>
      </c>
      <c r="D364" s="322"/>
      <c r="E364" s="328">
        <f t="shared" si="5"/>
        <v>0</v>
      </c>
      <c r="F364" s="347"/>
      <c r="G364" s="347"/>
      <c r="H364" s="328">
        <v>0</v>
      </c>
      <c r="I364" s="210"/>
    </row>
    <row r="365" spans="1:9" ht="24">
      <c r="A365" s="395" t="s">
        <v>1970</v>
      </c>
      <c r="B365" s="792">
        <v>305100650605000</v>
      </c>
      <c r="C365" s="313" t="s">
        <v>2598</v>
      </c>
      <c r="D365" s="322"/>
      <c r="E365" s="328">
        <f t="shared" si="5"/>
        <v>0</v>
      </c>
      <c r="F365" s="347"/>
      <c r="G365" s="347"/>
      <c r="H365" s="328">
        <v>0</v>
      </c>
      <c r="I365" s="210"/>
    </row>
    <row r="366" spans="1:9" ht="24">
      <c r="A366" s="395" t="s">
        <v>1970</v>
      </c>
      <c r="B366" s="792">
        <v>305100650609000</v>
      </c>
      <c r="C366" s="313" t="s">
        <v>2599</v>
      </c>
      <c r="D366" s="322"/>
      <c r="E366" s="328">
        <f t="shared" si="5"/>
        <v>0</v>
      </c>
      <c r="F366" s="347"/>
      <c r="G366" s="347"/>
      <c r="H366" s="328">
        <v>4399.26</v>
      </c>
      <c r="I366" s="210"/>
    </row>
    <row r="367" spans="1:9" ht="38.25">
      <c r="A367" s="394" t="s">
        <v>1969</v>
      </c>
      <c r="B367" s="793" t="s">
        <v>697</v>
      </c>
      <c r="C367" s="310" t="s">
        <v>2216</v>
      </c>
      <c r="D367" s="321" t="s">
        <v>1248</v>
      </c>
      <c r="E367" s="352"/>
      <c r="F367" s="352"/>
      <c r="G367" s="352"/>
      <c r="H367" s="352">
        <v>0</v>
      </c>
    </row>
    <row r="368" spans="1:9" ht="24">
      <c r="A368" s="395" t="s">
        <v>1970</v>
      </c>
      <c r="B368" s="792">
        <v>305100650700500</v>
      </c>
      <c r="C368" s="313" t="s">
        <v>2217</v>
      </c>
      <c r="D368" s="322" t="s">
        <v>1248</v>
      </c>
      <c r="E368" s="328">
        <f t="shared" si="5"/>
        <v>0</v>
      </c>
      <c r="F368" s="347"/>
      <c r="G368" s="347"/>
      <c r="H368" s="328">
        <v>0</v>
      </c>
      <c r="I368" s="210"/>
    </row>
    <row r="369" spans="1:9" ht="24">
      <c r="A369" s="395" t="s">
        <v>1970</v>
      </c>
      <c r="B369" s="792">
        <v>305100650701000</v>
      </c>
      <c r="C369" s="313" t="s">
        <v>2218</v>
      </c>
      <c r="D369" s="322" t="s">
        <v>1248</v>
      </c>
      <c r="E369" s="328">
        <f t="shared" si="5"/>
        <v>0</v>
      </c>
      <c r="F369" s="347"/>
      <c r="G369" s="347"/>
      <c r="H369" s="328">
        <v>0</v>
      </c>
      <c r="I369" s="210"/>
    </row>
    <row r="370" spans="1:9" ht="24">
      <c r="A370" s="395" t="s">
        <v>1970</v>
      </c>
      <c r="B370" s="792">
        <v>305100650701500</v>
      </c>
      <c r="C370" s="313" t="s">
        <v>2219</v>
      </c>
      <c r="D370" s="322" t="s">
        <v>1248</v>
      </c>
      <c r="E370" s="328">
        <f t="shared" si="5"/>
        <v>0</v>
      </c>
      <c r="F370" s="347"/>
      <c r="G370" s="347"/>
      <c r="H370" s="328">
        <v>0</v>
      </c>
      <c r="I370" s="210"/>
    </row>
    <row r="371" spans="1:9" ht="24">
      <c r="A371" s="395" t="s">
        <v>1970</v>
      </c>
      <c r="B371" s="792">
        <v>305100650702000</v>
      </c>
      <c r="C371" s="313" t="s">
        <v>2220</v>
      </c>
      <c r="D371" s="322" t="s">
        <v>1248</v>
      </c>
      <c r="E371" s="328">
        <f t="shared" si="5"/>
        <v>0</v>
      </c>
      <c r="F371" s="347"/>
      <c r="G371" s="347"/>
      <c r="H371" s="328">
        <v>0</v>
      </c>
      <c r="I371" s="210"/>
    </row>
    <row r="372" spans="1:9" ht="24">
      <c r="A372" s="395" t="s">
        <v>1970</v>
      </c>
      <c r="B372" s="792">
        <v>305100650702500</v>
      </c>
      <c r="C372" s="313" t="s">
        <v>2221</v>
      </c>
      <c r="D372" s="322" t="s">
        <v>1248</v>
      </c>
      <c r="E372" s="328">
        <f t="shared" si="5"/>
        <v>0</v>
      </c>
      <c r="F372" s="347"/>
      <c r="G372" s="347"/>
      <c r="H372" s="328">
        <v>0</v>
      </c>
      <c r="I372" s="210"/>
    </row>
    <row r="373" spans="1:9" ht="24">
      <c r="A373" s="395" t="s">
        <v>1970</v>
      </c>
      <c r="B373" s="792">
        <v>305100650703000</v>
      </c>
      <c r="C373" s="313" t="s">
        <v>2222</v>
      </c>
      <c r="D373" s="322" t="s">
        <v>1248</v>
      </c>
      <c r="E373" s="328">
        <f t="shared" si="5"/>
        <v>0</v>
      </c>
      <c r="F373" s="347"/>
      <c r="G373" s="347"/>
      <c r="H373" s="328">
        <v>0</v>
      </c>
      <c r="I373" s="210"/>
    </row>
    <row r="374" spans="1:9" ht="24">
      <c r="A374" s="395" t="s">
        <v>1970</v>
      </c>
      <c r="B374" s="792">
        <v>305100650703500</v>
      </c>
      <c r="C374" s="313" t="s">
        <v>2223</v>
      </c>
      <c r="D374" s="322" t="s">
        <v>1248</v>
      </c>
      <c r="E374" s="328">
        <f t="shared" si="5"/>
        <v>0</v>
      </c>
      <c r="F374" s="347"/>
      <c r="G374" s="347"/>
      <c r="H374" s="328">
        <v>0</v>
      </c>
      <c r="I374" s="210"/>
    </row>
    <row r="375" spans="1:9" ht="24">
      <c r="A375" s="395" t="s">
        <v>1970</v>
      </c>
      <c r="B375" s="792">
        <v>305100650704000</v>
      </c>
      <c r="C375" s="313" t="s">
        <v>2600</v>
      </c>
      <c r="D375" s="322" t="s">
        <v>1248</v>
      </c>
      <c r="E375" s="328">
        <f t="shared" si="5"/>
        <v>0</v>
      </c>
      <c r="F375" s="347"/>
      <c r="G375" s="347"/>
      <c r="H375" s="328">
        <v>0</v>
      </c>
      <c r="I375" s="210"/>
    </row>
    <row r="376" spans="1:9" ht="36">
      <c r="A376" s="395" t="s">
        <v>1970</v>
      </c>
      <c r="B376" s="792">
        <v>305100650709000</v>
      </c>
      <c r="C376" s="313" t="s">
        <v>2601</v>
      </c>
      <c r="D376" s="322" t="s">
        <v>1248</v>
      </c>
      <c r="E376" s="328">
        <f t="shared" si="5"/>
        <v>0</v>
      </c>
      <c r="F376" s="347"/>
      <c r="G376" s="347"/>
      <c r="H376" s="328">
        <v>0</v>
      </c>
      <c r="I376" s="210"/>
    </row>
    <row r="377" spans="1:9">
      <c r="A377" s="394" t="s">
        <v>1967</v>
      </c>
      <c r="B377" s="793" t="s">
        <v>698</v>
      </c>
      <c r="C377" s="310" t="s">
        <v>2224</v>
      </c>
      <c r="D377" s="321"/>
      <c r="E377" s="352"/>
      <c r="F377" s="352"/>
      <c r="G377" s="352"/>
      <c r="H377" s="352">
        <v>0</v>
      </c>
    </row>
    <row r="378" spans="1:9">
      <c r="A378" s="394" t="s">
        <v>1969</v>
      </c>
      <c r="B378" s="793" t="s">
        <v>700</v>
      </c>
      <c r="C378" s="310" t="s">
        <v>2225</v>
      </c>
      <c r="D378" s="321"/>
      <c r="E378" s="352"/>
      <c r="F378" s="352"/>
      <c r="G378" s="352"/>
      <c r="H378" s="352">
        <v>0</v>
      </c>
    </row>
    <row r="379" spans="1:9">
      <c r="A379" s="395" t="s">
        <v>1970</v>
      </c>
      <c r="B379" s="792">
        <v>305100700100000</v>
      </c>
      <c r="C379" s="313" t="s">
        <v>699</v>
      </c>
      <c r="D379" s="322"/>
      <c r="E379" s="328">
        <f t="shared" si="5"/>
        <v>2936718.89</v>
      </c>
      <c r="F379" s="347">
        <v>2936718.89</v>
      </c>
      <c r="G379" s="347"/>
      <c r="H379" s="328">
        <v>2275663.12</v>
      </c>
      <c r="I379" s="210"/>
    </row>
    <row r="380" spans="1:9">
      <c r="A380" s="394" t="s">
        <v>1969</v>
      </c>
      <c r="B380" s="793" t="s">
        <v>702</v>
      </c>
      <c r="C380" s="310" t="s">
        <v>2226</v>
      </c>
      <c r="D380" s="321"/>
      <c r="E380" s="352"/>
      <c r="F380" s="352"/>
      <c r="G380" s="352"/>
      <c r="H380" s="352">
        <v>0</v>
      </c>
    </row>
    <row r="381" spans="1:9">
      <c r="A381" s="395" t="s">
        <v>1970</v>
      </c>
      <c r="B381" s="792">
        <v>305100700200000</v>
      </c>
      <c r="C381" s="313" t="s">
        <v>701</v>
      </c>
      <c r="D381" s="322"/>
      <c r="E381" s="328">
        <f t="shared" si="5"/>
        <v>0</v>
      </c>
      <c r="F381" s="347"/>
      <c r="G381" s="347"/>
      <c r="H381" s="328">
        <v>0</v>
      </c>
      <c r="I381" s="210"/>
    </row>
    <row r="382" spans="1:9" ht="25.5">
      <c r="A382" s="394" t="s">
        <v>1969</v>
      </c>
      <c r="B382" s="793" t="s">
        <v>704</v>
      </c>
      <c r="C382" s="310" t="s">
        <v>2227</v>
      </c>
      <c r="D382" s="321"/>
      <c r="E382" s="352"/>
      <c r="F382" s="352"/>
      <c r="G382" s="352"/>
      <c r="H382" s="352">
        <v>0</v>
      </c>
    </row>
    <row r="383" spans="1:9" ht="24">
      <c r="A383" s="395" t="s">
        <v>1970</v>
      </c>
      <c r="B383" s="792">
        <v>305100700300000</v>
      </c>
      <c r="C383" s="313" t="s">
        <v>703</v>
      </c>
      <c r="D383" s="322"/>
      <c r="E383" s="328">
        <f t="shared" si="5"/>
        <v>0</v>
      </c>
      <c r="F383" s="347"/>
      <c r="G383" s="347"/>
      <c r="H383" s="328">
        <v>0</v>
      </c>
      <c r="I383" s="210"/>
    </row>
    <row r="384" spans="1:9">
      <c r="A384" s="394" t="s">
        <v>1969</v>
      </c>
      <c r="B384" s="793" t="s">
        <v>706</v>
      </c>
      <c r="C384" s="310" t="s">
        <v>2228</v>
      </c>
      <c r="D384" s="321"/>
      <c r="E384" s="352"/>
      <c r="F384" s="352"/>
      <c r="G384" s="352"/>
      <c r="H384" s="352">
        <v>0</v>
      </c>
    </row>
    <row r="385" spans="1:9">
      <c r="A385" s="395" t="s">
        <v>1970</v>
      </c>
      <c r="B385" s="792">
        <v>305100700400000</v>
      </c>
      <c r="C385" s="313" t="s">
        <v>705</v>
      </c>
      <c r="D385" s="322"/>
      <c r="E385" s="328">
        <f t="shared" si="5"/>
        <v>0</v>
      </c>
      <c r="F385" s="347"/>
      <c r="G385" s="347"/>
      <c r="H385" s="328">
        <v>0</v>
      </c>
      <c r="I385" s="210"/>
    </row>
    <row r="386" spans="1:9">
      <c r="A386" s="394" t="s">
        <v>1969</v>
      </c>
      <c r="B386" s="793" t="s">
        <v>708</v>
      </c>
      <c r="C386" s="310" t="s">
        <v>2229</v>
      </c>
      <c r="D386" s="321"/>
      <c r="E386" s="352"/>
      <c r="F386" s="352"/>
      <c r="G386" s="352"/>
      <c r="H386" s="352">
        <v>0</v>
      </c>
    </row>
    <row r="387" spans="1:9">
      <c r="A387" s="395" t="s">
        <v>1970</v>
      </c>
      <c r="B387" s="792">
        <v>305100700500500</v>
      </c>
      <c r="C387" s="313" t="s">
        <v>709</v>
      </c>
      <c r="D387" s="322"/>
      <c r="E387" s="328">
        <f t="shared" si="5"/>
        <v>0</v>
      </c>
      <c r="F387" s="347"/>
      <c r="G387" s="347"/>
      <c r="H387" s="328">
        <v>0</v>
      </c>
      <c r="I387" s="210"/>
    </row>
    <row r="388" spans="1:9">
      <c r="A388" s="395" t="s">
        <v>1970</v>
      </c>
      <c r="B388" s="792">
        <v>305100700501000</v>
      </c>
      <c r="C388" s="313" t="s">
        <v>710</v>
      </c>
      <c r="D388" s="322"/>
      <c r="E388" s="328">
        <f t="shared" si="5"/>
        <v>0</v>
      </c>
      <c r="F388" s="347"/>
      <c r="G388" s="347"/>
      <c r="H388" s="328">
        <v>0</v>
      </c>
      <c r="I388" s="210"/>
    </row>
    <row r="389" spans="1:9">
      <c r="A389" s="395" t="s">
        <v>1970</v>
      </c>
      <c r="B389" s="792">
        <v>305100700501500</v>
      </c>
      <c r="C389" s="313" t="s">
        <v>711</v>
      </c>
      <c r="D389" s="322"/>
      <c r="E389" s="328">
        <f t="shared" si="5"/>
        <v>0</v>
      </c>
      <c r="F389" s="347"/>
      <c r="G389" s="347"/>
      <c r="H389" s="328">
        <v>0</v>
      </c>
      <c r="I389" s="210"/>
    </row>
    <row r="390" spans="1:9">
      <c r="A390" s="395" t="s">
        <v>1970</v>
      </c>
      <c r="B390" s="792">
        <v>305100700502000</v>
      </c>
      <c r="C390" s="313" t="s">
        <v>712</v>
      </c>
      <c r="D390" s="322"/>
      <c r="E390" s="328">
        <f t="shared" ref="E390:E453" si="6">+F390+G390</f>
        <v>0</v>
      </c>
      <c r="F390" s="347"/>
      <c r="G390" s="347"/>
      <c r="H390" s="328">
        <v>0</v>
      </c>
      <c r="I390" s="210"/>
    </row>
    <row r="391" spans="1:9">
      <c r="A391" s="395" t="s">
        <v>1970</v>
      </c>
      <c r="B391" s="792">
        <v>305100700502500</v>
      </c>
      <c r="C391" s="313" t="s">
        <v>713</v>
      </c>
      <c r="D391" s="322"/>
      <c r="E391" s="328">
        <f t="shared" si="6"/>
        <v>0</v>
      </c>
      <c r="F391" s="347"/>
      <c r="G391" s="347"/>
      <c r="H391" s="328">
        <v>0</v>
      </c>
      <c r="I391" s="210"/>
    </row>
    <row r="392" spans="1:9">
      <c r="A392" s="395" t="s">
        <v>1970</v>
      </c>
      <c r="B392" s="792">
        <v>305100700503000</v>
      </c>
      <c r="C392" s="313" t="s">
        <v>714</v>
      </c>
      <c r="D392" s="322"/>
      <c r="E392" s="328">
        <f t="shared" si="6"/>
        <v>0</v>
      </c>
      <c r="F392" s="347"/>
      <c r="G392" s="347"/>
      <c r="H392" s="328">
        <v>0</v>
      </c>
      <c r="I392" s="210"/>
    </row>
    <row r="393" spans="1:9">
      <c r="A393" s="395" t="s">
        <v>1970</v>
      </c>
      <c r="B393" s="792">
        <v>305100700503500</v>
      </c>
      <c r="C393" s="313" t="s">
        <v>715</v>
      </c>
      <c r="D393" s="322"/>
      <c r="E393" s="328">
        <f t="shared" si="6"/>
        <v>191794.5</v>
      </c>
      <c r="F393" s="347">
        <v>191794.5</v>
      </c>
      <c r="G393" s="347"/>
      <c r="H393" s="328">
        <v>8300</v>
      </c>
      <c r="I393" s="210"/>
    </row>
    <row r="394" spans="1:9">
      <c r="A394" s="395" t="s">
        <v>1970</v>
      </c>
      <c r="B394" s="792">
        <v>305100700504000</v>
      </c>
      <c r="C394" s="313" t="s">
        <v>716</v>
      </c>
      <c r="D394" s="322"/>
      <c r="E394" s="328">
        <f t="shared" si="6"/>
        <v>16969.7</v>
      </c>
      <c r="F394" s="347">
        <v>16969.7</v>
      </c>
      <c r="G394" s="347"/>
      <c r="H394" s="328">
        <v>58300.06</v>
      </c>
      <c r="I394" s="210"/>
    </row>
    <row r="395" spans="1:9">
      <c r="A395" s="395" t="s">
        <v>1970</v>
      </c>
      <c r="B395" s="792">
        <v>305100700504500</v>
      </c>
      <c r="C395" s="313" t="s">
        <v>717</v>
      </c>
      <c r="D395" s="322"/>
      <c r="E395" s="328">
        <f t="shared" si="6"/>
        <v>0</v>
      </c>
      <c r="F395" s="347"/>
      <c r="G395" s="347"/>
      <c r="H395" s="328">
        <v>63411.34</v>
      </c>
      <c r="I395" s="210"/>
    </row>
    <row r="396" spans="1:9">
      <c r="A396" s="395" t="s">
        <v>1970</v>
      </c>
      <c r="B396" s="792">
        <v>305100700509000</v>
      </c>
      <c r="C396" s="313" t="s">
        <v>707</v>
      </c>
      <c r="D396" s="322"/>
      <c r="E396" s="328">
        <f t="shared" si="6"/>
        <v>89304</v>
      </c>
      <c r="F396" s="347">
        <v>89304</v>
      </c>
      <c r="G396" s="347"/>
      <c r="H396" s="328">
        <v>0</v>
      </c>
      <c r="I396" s="210"/>
    </row>
    <row r="397" spans="1:9" ht="25.5">
      <c r="A397" s="394" t="s">
        <v>1969</v>
      </c>
      <c r="B397" s="793" t="s">
        <v>718</v>
      </c>
      <c r="C397" s="310" t="s">
        <v>2230</v>
      </c>
      <c r="D397" s="321" t="s">
        <v>1248</v>
      </c>
      <c r="E397" s="352"/>
      <c r="F397" s="352"/>
      <c r="G397" s="352"/>
      <c r="H397" s="352">
        <v>0</v>
      </c>
    </row>
    <row r="398" spans="1:9">
      <c r="A398" s="395" t="s">
        <v>1970</v>
      </c>
      <c r="B398" s="792">
        <v>305100700601000</v>
      </c>
      <c r="C398" s="313" t="s">
        <v>719</v>
      </c>
      <c r="D398" s="322" t="s">
        <v>1248</v>
      </c>
      <c r="E398" s="328">
        <f t="shared" si="6"/>
        <v>4965244.9400000004</v>
      </c>
      <c r="F398" s="347">
        <v>4965244.9400000004</v>
      </c>
      <c r="G398" s="347"/>
      <c r="H398" s="328">
        <v>553392.54</v>
      </c>
      <c r="I398" s="210"/>
    </row>
    <row r="399" spans="1:9" ht="24">
      <c r="A399" s="395" t="s">
        <v>1970</v>
      </c>
      <c r="B399" s="792">
        <v>305100700609000</v>
      </c>
      <c r="C399" s="313" t="s">
        <v>720</v>
      </c>
      <c r="D399" s="322" t="s">
        <v>1248</v>
      </c>
      <c r="E399" s="328">
        <f t="shared" si="6"/>
        <v>7713326.4000000004</v>
      </c>
      <c r="F399" s="347">
        <v>7713326.4000000004</v>
      </c>
      <c r="G399" s="347"/>
      <c r="H399" s="328">
        <v>2121956</v>
      </c>
      <c r="I399" s="210"/>
    </row>
    <row r="400" spans="1:9">
      <c r="A400" s="394" t="s">
        <v>1969</v>
      </c>
      <c r="B400" s="793" t="s">
        <v>722</v>
      </c>
      <c r="C400" s="310" t="s">
        <v>1521</v>
      </c>
      <c r="D400" s="321" t="s">
        <v>1248</v>
      </c>
      <c r="E400" s="352"/>
      <c r="F400" s="352"/>
      <c r="G400" s="352"/>
      <c r="H400" s="352">
        <v>0</v>
      </c>
    </row>
    <row r="401" spans="1:9">
      <c r="A401" s="395" t="s">
        <v>1970</v>
      </c>
      <c r="B401" s="792">
        <v>305100700700000</v>
      </c>
      <c r="C401" s="313" t="s">
        <v>721</v>
      </c>
      <c r="D401" s="322" t="s">
        <v>1248</v>
      </c>
      <c r="E401" s="328">
        <f t="shared" si="6"/>
        <v>0</v>
      </c>
      <c r="F401" s="347"/>
      <c r="G401" s="347"/>
      <c r="H401" s="328">
        <v>0</v>
      </c>
      <c r="I401" s="210"/>
    </row>
    <row r="402" spans="1:9" ht="25.5">
      <c r="A402" s="394" t="s">
        <v>1967</v>
      </c>
      <c r="B402" s="793" t="s">
        <v>723</v>
      </c>
      <c r="C402" s="310" t="s">
        <v>2231</v>
      </c>
      <c r="D402" s="321"/>
      <c r="E402" s="352"/>
      <c r="F402" s="352"/>
      <c r="G402" s="352"/>
      <c r="H402" s="352">
        <v>0</v>
      </c>
    </row>
    <row r="403" spans="1:9" ht="25.5">
      <c r="A403" s="394" t="s">
        <v>1969</v>
      </c>
      <c r="B403" s="793" t="s">
        <v>725</v>
      </c>
      <c r="C403" s="310" t="s">
        <v>2232</v>
      </c>
      <c r="D403" s="321" t="s">
        <v>1248</v>
      </c>
      <c r="E403" s="352"/>
      <c r="F403" s="352"/>
      <c r="G403" s="352"/>
      <c r="H403" s="352">
        <v>0</v>
      </c>
    </row>
    <row r="404" spans="1:9" ht="24">
      <c r="A404" s="395" t="s">
        <v>1970</v>
      </c>
      <c r="B404" s="792">
        <v>305100750100000</v>
      </c>
      <c r="C404" s="313" t="s">
        <v>724</v>
      </c>
      <c r="D404" s="322" t="s">
        <v>1248</v>
      </c>
      <c r="E404" s="328">
        <f t="shared" si="6"/>
        <v>13763.97</v>
      </c>
      <c r="F404" s="347">
        <v>13763.97</v>
      </c>
      <c r="G404" s="347"/>
      <c r="H404" s="328">
        <v>49195.58</v>
      </c>
      <c r="I404" s="210"/>
    </row>
    <row r="405" spans="1:9" ht="25.5">
      <c r="A405" s="394" t="s">
        <v>1969</v>
      </c>
      <c r="B405" s="793" t="s">
        <v>727</v>
      </c>
      <c r="C405" s="310" t="s">
        <v>2233</v>
      </c>
      <c r="D405" s="321"/>
      <c r="E405" s="352"/>
      <c r="F405" s="352"/>
      <c r="G405" s="352"/>
      <c r="H405" s="352">
        <v>0</v>
      </c>
    </row>
    <row r="406" spans="1:9" ht="24">
      <c r="A406" s="395" t="s">
        <v>1970</v>
      </c>
      <c r="B406" s="792">
        <v>305100750200000</v>
      </c>
      <c r="C406" s="313" t="s">
        <v>726</v>
      </c>
      <c r="D406" s="322"/>
      <c r="E406" s="328">
        <f t="shared" si="6"/>
        <v>250857.16</v>
      </c>
      <c r="F406" s="347">
        <v>250857.16</v>
      </c>
      <c r="G406" s="347"/>
      <c r="H406" s="328">
        <v>0</v>
      </c>
      <c r="I406" s="210"/>
    </row>
    <row r="407" spans="1:9" ht="25.5">
      <c r="A407" s="394" t="s">
        <v>1969</v>
      </c>
      <c r="B407" s="793" t="s">
        <v>728</v>
      </c>
      <c r="C407" s="310" t="s">
        <v>2234</v>
      </c>
      <c r="D407" s="321"/>
      <c r="E407" s="352"/>
      <c r="F407" s="352"/>
      <c r="G407" s="352"/>
      <c r="H407" s="352">
        <v>0</v>
      </c>
    </row>
    <row r="408" spans="1:9" ht="25.5">
      <c r="A408" s="394" t="s">
        <v>1970</v>
      </c>
      <c r="B408" s="793" t="s">
        <v>730</v>
      </c>
      <c r="C408" s="310" t="s">
        <v>1526</v>
      </c>
      <c r="D408" s="321"/>
      <c r="E408" s="352"/>
      <c r="F408" s="352"/>
      <c r="G408" s="352"/>
      <c r="H408" s="352">
        <v>0</v>
      </c>
    </row>
    <row r="409" spans="1:9" ht="24">
      <c r="A409" s="395" t="s">
        <v>2017</v>
      </c>
      <c r="B409" s="792">
        <v>305100750301000</v>
      </c>
      <c r="C409" s="313" t="s">
        <v>729</v>
      </c>
      <c r="D409" s="322"/>
      <c r="E409" s="328">
        <f t="shared" si="6"/>
        <v>0</v>
      </c>
      <c r="F409" s="347"/>
      <c r="G409" s="347"/>
      <c r="H409" s="328">
        <v>0</v>
      </c>
      <c r="I409" s="210"/>
    </row>
    <row r="410" spans="1:9" ht="25.5">
      <c r="A410" s="394" t="s">
        <v>1970</v>
      </c>
      <c r="B410" s="793" t="s">
        <v>731</v>
      </c>
      <c r="C410" s="310" t="s">
        <v>1527</v>
      </c>
      <c r="D410" s="321"/>
      <c r="E410" s="352"/>
      <c r="F410" s="352"/>
      <c r="G410" s="352"/>
      <c r="H410" s="352">
        <v>0</v>
      </c>
    </row>
    <row r="411" spans="1:9" ht="24">
      <c r="A411" s="395" t="s">
        <v>2017</v>
      </c>
      <c r="B411" s="792">
        <v>305100750302005</v>
      </c>
      <c r="C411" s="313" t="s">
        <v>732</v>
      </c>
      <c r="D411" s="322"/>
      <c r="E411" s="328">
        <f t="shared" si="6"/>
        <v>171510</v>
      </c>
      <c r="F411" s="347">
        <v>171510</v>
      </c>
      <c r="G411" s="347"/>
      <c r="H411" s="328">
        <v>170832.5</v>
      </c>
      <c r="I411" s="210"/>
    </row>
    <row r="412" spans="1:9">
      <c r="A412" s="395">
        <v>8</v>
      </c>
      <c r="B412" s="792">
        <v>305100750302010</v>
      </c>
      <c r="C412" s="313" t="s">
        <v>733</v>
      </c>
      <c r="D412" s="322"/>
      <c r="E412" s="328">
        <f t="shared" si="6"/>
        <v>0</v>
      </c>
      <c r="F412" s="347"/>
      <c r="G412" s="347"/>
      <c r="H412" s="328">
        <v>0</v>
      </c>
      <c r="I412" s="210"/>
    </row>
    <row r="413" spans="1:9" ht="24">
      <c r="A413" s="395">
        <v>8</v>
      </c>
      <c r="B413" s="792">
        <v>305100750302015</v>
      </c>
      <c r="C413" s="313" t="s">
        <v>734</v>
      </c>
      <c r="D413" s="322"/>
      <c r="E413" s="328">
        <f t="shared" si="6"/>
        <v>0</v>
      </c>
      <c r="F413" s="347"/>
      <c r="G413" s="347"/>
      <c r="H413" s="328">
        <v>0</v>
      </c>
      <c r="I413" s="210"/>
    </row>
    <row r="414" spans="1:9" ht="25.5">
      <c r="A414" s="394">
        <v>7</v>
      </c>
      <c r="B414" s="793" t="s">
        <v>735</v>
      </c>
      <c r="C414" s="310" t="s">
        <v>2235</v>
      </c>
      <c r="D414" s="321"/>
      <c r="E414" s="352"/>
      <c r="F414" s="352"/>
      <c r="G414" s="352"/>
      <c r="H414" s="352">
        <v>0</v>
      </c>
    </row>
    <row r="415" spans="1:9" ht="24">
      <c r="A415" s="395">
        <v>8</v>
      </c>
      <c r="B415" s="792">
        <v>305100750303005</v>
      </c>
      <c r="C415" s="313" t="s">
        <v>736</v>
      </c>
      <c r="D415" s="322"/>
      <c r="E415" s="328">
        <f t="shared" si="6"/>
        <v>0</v>
      </c>
      <c r="F415" s="347"/>
      <c r="G415" s="347"/>
      <c r="H415" s="328">
        <v>0</v>
      </c>
      <c r="I415" s="210"/>
    </row>
    <row r="416" spans="1:9">
      <c r="A416" s="395">
        <v>8</v>
      </c>
      <c r="B416" s="792">
        <v>305100750303010</v>
      </c>
      <c r="C416" s="313" t="s">
        <v>737</v>
      </c>
      <c r="D416" s="322"/>
      <c r="E416" s="328">
        <f t="shared" si="6"/>
        <v>0</v>
      </c>
      <c r="F416" s="347"/>
      <c r="G416" s="347"/>
      <c r="H416" s="328">
        <v>0</v>
      </c>
      <c r="I416" s="210"/>
    </row>
    <row r="417" spans="1:9">
      <c r="A417" s="395">
        <v>8</v>
      </c>
      <c r="B417" s="792">
        <v>305100750303015</v>
      </c>
      <c r="C417" s="313" t="s">
        <v>738</v>
      </c>
      <c r="D417" s="322"/>
      <c r="E417" s="328">
        <f t="shared" si="6"/>
        <v>0</v>
      </c>
      <c r="F417" s="347"/>
      <c r="G417" s="347"/>
      <c r="H417" s="328">
        <v>0</v>
      </c>
      <c r="I417" s="210"/>
    </row>
    <row r="418" spans="1:9">
      <c r="A418" s="395">
        <v>8</v>
      </c>
      <c r="B418" s="792">
        <v>305100750303020</v>
      </c>
      <c r="C418" s="313" t="s">
        <v>739</v>
      </c>
      <c r="D418" s="322"/>
      <c r="E418" s="328">
        <f t="shared" si="6"/>
        <v>0</v>
      </c>
      <c r="F418" s="347"/>
      <c r="G418" s="347"/>
      <c r="H418" s="328">
        <v>0</v>
      </c>
      <c r="I418" s="210"/>
    </row>
    <row r="419" spans="1:9" ht="25.5">
      <c r="A419" s="394" t="s">
        <v>1970</v>
      </c>
      <c r="B419" s="793" t="s">
        <v>740</v>
      </c>
      <c r="C419" s="310" t="s">
        <v>2236</v>
      </c>
      <c r="D419" s="321"/>
      <c r="E419" s="352"/>
      <c r="F419" s="352"/>
      <c r="G419" s="352"/>
      <c r="H419" s="352">
        <v>0</v>
      </c>
    </row>
    <row r="420" spans="1:9">
      <c r="A420" s="395">
        <v>8</v>
      </c>
      <c r="B420" s="792">
        <v>305100750304005</v>
      </c>
      <c r="C420" s="313" t="s">
        <v>2237</v>
      </c>
      <c r="D420" s="322"/>
      <c r="E420" s="328">
        <f t="shared" si="6"/>
        <v>0</v>
      </c>
      <c r="F420" s="347"/>
      <c r="G420" s="347"/>
      <c r="H420" s="328">
        <v>0</v>
      </c>
      <c r="I420" s="210"/>
    </row>
    <row r="421" spans="1:9">
      <c r="A421" s="395">
        <v>8</v>
      </c>
      <c r="B421" s="792">
        <v>305100750304010</v>
      </c>
      <c r="C421" s="313" t="s">
        <v>1953</v>
      </c>
      <c r="D421" s="322"/>
      <c r="E421" s="328">
        <f t="shared" si="6"/>
        <v>0</v>
      </c>
      <c r="F421" s="347"/>
      <c r="G421" s="347"/>
      <c r="H421" s="328">
        <v>0</v>
      </c>
      <c r="I421" s="210"/>
    </row>
    <row r="422" spans="1:9">
      <c r="A422" s="395">
        <v>8</v>
      </c>
      <c r="B422" s="792">
        <v>305100750304015</v>
      </c>
      <c r="C422" s="313" t="s">
        <v>2238</v>
      </c>
      <c r="D422" s="322"/>
      <c r="E422" s="328">
        <f t="shared" si="6"/>
        <v>0</v>
      </c>
      <c r="F422" s="347"/>
      <c r="G422" s="347"/>
      <c r="H422" s="328">
        <v>0</v>
      </c>
      <c r="I422" s="210"/>
    </row>
    <row r="423" spans="1:9" ht="12.75" customHeight="1">
      <c r="A423" s="395">
        <v>8</v>
      </c>
      <c r="B423" s="792">
        <v>305100750304020</v>
      </c>
      <c r="C423" s="313" t="s">
        <v>2239</v>
      </c>
      <c r="D423" s="322"/>
      <c r="E423" s="328">
        <f t="shared" si="6"/>
        <v>0</v>
      </c>
      <c r="F423" s="347"/>
      <c r="G423" s="347"/>
      <c r="H423" s="328">
        <v>0</v>
      </c>
      <c r="I423" s="210"/>
    </row>
    <row r="424" spans="1:9">
      <c r="A424" s="395">
        <v>8</v>
      </c>
      <c r="B424" s="792">
        <v>305100750304025</v>
      </c>
      <c r="C424" s="313" t="s">
        <v>2240</v>
      </c>
      <c r="D424" s="322"/>
      <c r="E424" s="328">
        <f t="shared" si="6"/>
        <v>0</v>
      </c>
      <c r="F424" s="347"/>
      <c r="G424" s="347"/>
      <c r="H424" s="328">
        <v>0</v>
      </c>
      <c r="I424" s="210"/>
    </row>
    <row r="425" spans="1:9">
      <c r="A425" s="395">
        <v>8</v>
      </c>
      <c r="B425" s="792">
        <v>305100750304030</v>
      </c>
      <c r="C425" s="313" t="s">
        <v>2241</v>
      </c>
      <c r="D425" s="322"/>
      <c r="E425" s="328">
        <f t="shared" si="6"/>
        <v>0</v>
      </c>
      <c r="F425" s="347"/>
      <c r="G425" s="347"/>
      <c r="H425" s="328">
        <v>0</v>
      </c>
      <c r="I425" s="210"/>
    </row>
    <row r="426" spans="1:9">
      <c r="A426" s="394" t="s">
        <v>1970</v>
      </c>
      <c r="B426" s="793" t="s">
        <v>741</v>
      </c>
      <c r="C426" s="310" t="s">
        <v>2242</v>
      </c>
      <c r="D426" s="321"/>
      <c r="E426" s="352"/>
      <c r="F426" s="352"/>
      <c r="G426" s="352"/>
      <c r="H426" s="352">
        <v>0</v>
      </c>
    </row>
    <row r="427" spans="1:9">
      <c r="A427" s="395" t="s">
        <v>2017</v>
      </c>
      <c r="B427" s="792">
        <v>305100750305000</v>
      </c>
      <c r="C427" s="313" t="s">
        <v>2243</v>
      </c>
      <c r="D427" s="322"/>
      <c r="E427" s="328">
        <f t="shared" si="6"/>
        <v>0</v>
      </c>
      <c r="F427" s="347"/>
      <c r="G427" s="347"/>
      <c r="H427" s="328">
        <v>0</v>
      </c>
      <c r="I427" s="210"/>
    </row>
    <row r="428" spans="1:9" ht="25.5">
      <c r="A428" s="394" t="s">
        <v>1970</v>
      </c>
      <c r="B428" s="793" t="s">
        <v>742</v>
      </c>
      <c r="C428" s="310" t="s">
        <v>2244</v>
      </c>
      <c r="D428" s="321"/>
      <c r="E428" s="352"/>
      <c r="F428" s="352"/>
      <c r="G428" s="352"/>
      <c r="H428" s="352">
        <v>0</v>
      </c>
    </row>
    <row r="429" spans="1:9">
      <c r="A429" s="395">
        <v>8</v>
      </c>
      <c r="B429" s="792">
        <v>305100750306005</v>
      </c>
      <c r="C429" s="313" t="s">
        <v>743</v>
      </c>
      <c r="D429" s="322"/>
      <c r="E429" s="328">
        <f t="shared" si="6"/>
        <v>1354714.39</v>
      </c>
      <c r="F429" s="347">
        <v>1354714.39</v>
      </c>
      <c r="G429" s="347"/>
      <c r="H429" s="328">
        <v>1494939.6</v>
      </c>
      <c r="I429" s="210"/>
    </row>
    <row r="430" spans="1:9">
      <c r="A430" s="395">
        <v>8</v>
      </c>
      <c r="B430" s="792">
        <v>305100750306010</v>
      </c>
      <c r="C430" s="313" t="s">
        <v>744</v>
      </c>
      <c r="D430" s="322"/>
      <c r="E430" s="328">
        <f t="shared" si="6"/>
        <v>0</v>
      </c>
      <c r="F430" s="347"/>
      <c r="G430" s="347"/>
      <c r="H430" s="328">
        <v>0</v>
      </c>
      <c r="I430" s="210"/>
    </row>
    <row r="431" spans="1:9">
      <c r="A431" s="395">
        <v>8</v>
      </c>
      <c r="B431" s="792">
        <v>305100750306015</v>
      </c>
      <c r="C431" s="313" t="s">
        <v>745</v>
      </c>
      <c r="D431" s="322"/>
      <c r="E431" s="328">
        <f t="shared" si="6"/>
        <v>0</v>
      </c>
      <c r="F431" s="347"/>
      <c r="G431" s="347"/>
      <c r="H431" s="328">
        <v>0</v>
      </c>
      <c r="I431" s="210"/>
    </row>
    <row r="432" spans="1:9">
      <c r="A432" s="395">
        <v>8</v>
      </c>
      <c r="B432" s="792">
        <v>305100750306020</v>
      </c>
      <c r="C432" s="313" t="s">
        <v>746</v>
      </c>
      <c r="D432" s="322"/>
      <c r="E432" s="328">
        <f t="shared" si="6"/>
        <v>0</v>
      </c>
      <c r="F432" s="347"/>
      <c r="G432" s="347"/>
      <c r="H432" s="328">
        <v>0</v>
      </c>
      <c r="I432" s="210"/>
    </row>
    <row r="433" spans="1:9">
      <c r="A433" s="395">
        <v>8</v>
      </c>
      <c r="B433" s="792">
        <v>305100750306025</v>
      </c>
      <c r="C433" s="313" t="s">
        <v>747</v>
      </c>
      <c r="D433" s="322"/>
      <c r="E433" s="328">
        <f t="shared" si="6"/>
        <v>82720.56</v>
      </c>
      <c r="F433" s="347">
        <v>82720.56</v>
      </c>
      <c r="G433" s="347"/>
      <c r="H433" s="328">
        <v>118157.46</v>
      </c>
      <c r="I433" s="210"/>
    </row>
    <row r="434" spans="1:9">
      <c r="A434" s="395">
        <v>8</v>
      </c>
      <c r="B434" s="792">
        <v>305100750306030</v>
      </c>
      <c r="C434" s="313" t="s">
        <v>748</v>
      </c>
      <c r="D434" s="322"/>
      <c r="E434" s="328">
        <f t="shared" si="6"/>
        <v>90439.17</v>
      </c>
      <c r="F434" s="347">
        <v>90439.17</v>
      </c>
      <c r="G434" s="347"/>
      <c r="H434" s="328">
        <v>85926.79</v>
      </c>
      <c r="I434" s="210"/>
    </row>
    <row r="435" spans="1:9">
      <c r="A435" s="395">
        <v>8</v>
      </c>
      <c r="B435" s="792">
        <v>305100750306035</v>
      </c>
      <c r="C435" s="313" t="s">
        <v>749</v>
      </c>
      <c r="D435" s="322"/>
      <c r="E435" s="328">
        <f t="shared" si="6"/>
        <v>0</v>
      </c>
      <c r="F435" s="347"/>
      <c r="G435" s="347"/>
      <c r="H435" s="328">
        <v>0</v>
      </c>
      <c r="I435" s="210"/>
    </row>
    <row r="436" spans="1:9">
      <c r="A436" s="395">
        <v>8</v>
      </c>
      <c r="B436" s="792">
        <v>305100750306040</v>
      </c>
      <c r="C436" s="313" t="s">
        <v>750</v>
      </c>
      <c r="D436" s="322"/>
      <c r="E436" s="328">
        <f t="shared" si="6"/>
        <v>15374.12</v>
      </c>
      <c r="F436" s="347">
        <v>15374.12</v>
      </c>
      <c r="G436" s="347"/>
      <c r="H436" s="328">
        <v>15760.45</v>
      </c>
      <c r="I436" s="210"/>
    </row>
    <row r="437" spans="1:9" ht="24">
      <c r="A437" s="395">
        <v>8</v>
      </c>
      <c r="B437" s="792">
        <v>305100750306090</v>
      </c>
      <c r="C437" s="313" t="s">
        <v>2245</v>
      </c>
      <c r="D437" s="322"/>
      <c r="E437" s="328">
        <f t="shared" si="6"/>
        <v>368</v>
      </c>
      <c r="F437" s="347">
        <v>368</v>
      </c>
      <c r="G437" s="347"/>
      <c r="H437" s="328">
        <v>0</v>
      </c>
      <c r="I437" s="210"/>
    </row>
    <row r="438" spans="1:9" ht="25.5">
      <c r="A438" s="394" t="s">
        <v>1969</v>
      </c>
      <c r="B438" s="793" t="s">
        <v>751</v>
      </c>
      <c r="C438" s="310" t="s">
        <v>1532</v>
      </c>
      <c r="D438" s="321"/>
      <c r="E438" s="352"/>
      <c r="F438" s="352"/>
      <c r="G438" s="352"/>
      <c r="H438" s="352">
        <v>0</v>
      </c>
    </row>
    <row r="439" spans="1:9" ht="25.5">
      <c r="A439" s="394" t="s">
        <v>1970</v>
      </c>
      <c r="B439" s="793" t="s">
        <v>753</v>
      </c>
      <c r="C439" s="310" t="s">
        <v>1533</v>
      </c>
      <c r="D439" s="321" t="s">
        <v>1248</v>
      </c>
      <c r="E439" s="352"/>
      <c r="F439" s="352"/>
      <c r="G439" s="352"/>
      <c r="H439" s="352">
        <v>0</v>
      </c>
    </row>
    <row r="440" spans="1:9" ht="24">
      <c r="A440" s="395" t="s">
        <v>2017</v>
      </c>
      <c r="B440" s="792">
        <v>305100750401000</v>
      </c>
      <c r="C440" s="313" t="s">
        <v>752</v>
      </c>
      <c r="D440" s="322" t="s">
        <v>1248</v>
      </c>
      <c r="E440" s="328">
        <f t="shared" si="6"/>
        <v>55802.51</v>
      </c>
      <c r="F440" s="347">
        <v>55802.51</v>
      </c>
      <c r="G440" s="347"/>
      <c r="H440" s="328">
        <v>131952.81</v>
      </c>
      <c r="I440" s="210"/>
    </row>
    <row r="441" spans="1:9" ht="25.5">
      <c r="A441" s="394" t="s">
        <v>1970</v>
      </c>
      <c r="B441" s="793" t="s">
        <v>755</v>
      </c>
      <c r="C441" s="310" t="s">
        <v>1534</v>
      </c>
      <c r="D441" s="321"/>
      <c r="E441" s="352"/>
      <c r="F441" s="352"/>
      <c r="G441" s="352"/>
      <c r="H441" s="352">
        <v>0</v>
      </c>
    </row>
    <row r="442" spans="1:9" ht="24">
      <c r="A442" s="395" t="s">
        <v>2017</v>
      </c>
      <c r="B442" s="792">
        <v>305100750402000</v>
      </c>
      <c r="C442" s="313" t="s">
        <v>754</v>
      </c>
      <c r="D442" s="322"/>
      <c r="E442" s="328">
        <f t="shared" si="6"/>
        <v>0</v>
      </c>
      <c r="F442" s="347"/>
      <c r="G442" s="347"/>
      <c r="H442" s="328">
        <v>0</v>
      </c>
      <c r="I442" s="210"/>
    </row>
    <row r="443" spans="1:9" ht="25.5">
      <c r="A443" s="394" t="s">
        <v>1970</v>
      </c>
      <c r="B443" s="793" t="s">
        <v>757</v>
      </c>
      <c r="C443" s="310" t="s">
        <v>1535</v>
      </c>
      <c r="D443" s="321"/>
      <c r="E443" s="352"/>
      <c r="F443" s="352"/>
      <c r="G443" s="352"/>
      <c r="H443" s="352">
        <v>0</v>
      </c>
    </row>
    <row r="444" spans="1:9" ht="24">
      <c r="A444" s="395" t="s">
        <v>2017</v>
      </c>
      <c r="B444" s="792">
        <v>305100750403000</v>
      </c>
      <c r="C444" s="313" t="s">
        <v>756</v>
      </c>
      <c r="D444" s="322"/>
      <c r="E444" s="328">
        <f t="shared" si="6"/>
        <v>0</v>
      </c>
      <c r="F444" s="347"/>
      <c r="G444" s="347"/>
      <c r="H444" s="328">
        <v>0</v>
      </c>
      <c r="I444" s="210"/>
    </row>
    <row r="445" spans="1:9" ht="25.5">
      <c r="A445" s="394" t="s">
        <v>1967</v>
      </c>
      <c r="B445" s="793" t="s">
        <v>758</v>
      </c>
      <c r="C445" s="310" t="s">
        <v>1536</v>
      </c>
      <c r="D445" s="321"/>
      <c r="E445" s="352"/>
      <c r="F445" s="352"/>
      <c r="G445" s="352"/>
      <c r="H445" s="352">
        <v>0</v>
      </c>
    </row>
    <row r="446" spans="1:9" ht="38.25">
      <c r="A446" s="394" t="s">
        <v>1969</v>
      </c>
      <c r="B446" s="793" t="s">
        <v>760</v>
      </c>
      <c r="C446" s="310" t="s">
        <v>2246</v>
      </c>
      <c r="D446" s="321" t="s">
        <v>1248</v>
      </c>
      <c r="E446" s="352"/>
      <c r="F446" s="352"/>
      <c r="G446" s="352"/>
      <c r="H446" s="352">
        <v>0</v>
      </c>
    </row>
    <row r="447" spans="1:9" ht="24">
      <c r="A447" s="395" t="s">
        <v>1970</v>
      </c>
      <c r="B447" s="792">
        <v>305100800100000</v>
      </c>
      <c r="C447" s="313" t="s">
        <v>759</v>
      </c>
      <c r="D447" s="322" t="s">
        <v>1248</v>
      </c>
      <c r="E447" s="328">
        <f t="shared" si="6"/>
        <v>0</v>
      </c>
      <c r="F447" s="347"/>
      <c r="G447" s="347"/>
      <c r="H447" s="328">
        <v>0</v>
      </c>
      <c r="I447" s="210"/>
    </row>
    <row r="448" spans="1:9" ht="25.5">
      <c r="A448" s="394" t="s">
        <v>1969</v>
      </c>
      <c r="B448" s="793" t="s">
        <v>762</v>
      </c>
      <c r="C448" s="310" t="s">
        <v>2247</v>
      </c>
      <c r="D448" s="321"/>
      <c r="E448" s="352"/>
      <c r="F448" s="352"/>
      <c r="G448" s="352"/>
      <c r="H448" s="352">
        <v>0</v>
      </c>
    </row>
    <row r="449" spans="1:9" ht="24">
      <c r="A449" s="395" t="s">
        <v>1970</v>
      </c>
      <c r="B449" s="792">
        <v>305100800200000</v>
      </c>
      <c r="C449" s="313" t="s">
        <v>761</v>
      </c>
      <c r="D449" s="322"/>
      <c r="E449" s="328">
        <f t="shared" si="6"/>
        <v>0</v>
      </c>
      <c r="F449" s="347"/>
      <c r="G449" s="347"/>
      <c r="H449" s="328">
        <v>0</v>
      </c>
      <c r="I449" s="210"/>
    </row>
    <row r="450" spans="1:9" ht="25.5">
      <c r="A450" s="394" t="s">
        <v>1969</v>
      </c>
      <c r="B450" s="793" t="s">
        <v>764</v>
      </c>
      <c r="C450" s="310" t="s">
        <v>1539</v>
      </c>
      <c r="D450" s="321"/>
      <c r="E450" s="352"/>
      <c r="F450" s="352"/>
      <c r="G450" s="352"/>
      <c r="H450" s="352">
        <v>0</v>
      </c>
    </row>
    <row r="451" spans="1:9" ht="24">
      <c r="A451" s="395" t="s">
        <v>1970</v>
      </c>
      <c r="B451" s="792">
        <v>305100800300000</v>
      </c>
      <c r="C451" s="313" t="s">
        <v>763</v>
      </c>
      <c r="D451" s="322"/>
      <c r="E451" s="328">
        <f t="shared" si="6"/>
        <v>219220</v>
      </c>
      <c r="F451" s="347">
        <v>219220</v>
      </c>
      <c r="G451" s="347"/>
      <c r="H451" s="328">
        <v>0</v>
      </c>
      <c r="I451" s="210"/>
    </row>
    <row r="452" spans="1:9">
      <c r="A452" s="394" t="s">
        <v>1969</v>
      </c>
      <c r="B452" s="793" t="s">
        <v>766</v>
      </c>
      <c r="C452" s="310" t="s">
        <v>2248</v>
      </c>
      <c r="D452" s="321"/>
      <c r="E452" s="352"/>
      <c r="F452" s="352"/>
      <c r="G452" s="352"/>
      <c r="H452" s="352">
        <v>0</v>
      </c>
    </row>
    <row r="453" spans="1:9">
      <c r="A453" s="395">
        <v>7</v>
      </c>
      <c r="B453" s="792">
        <v>305100800401000</v>
      </c>
      <c r="C453" s="313" t="s">
        <v>767</v>
      </c>
      <c r="D453" s="322"/>
      <c r="E453" s="328">
        <f t="shared" si="6"/>
        <v>0</v>
      </c>
      <c r="F453" s="347"/>
      <c r="G453" s="347"/>
      <c r="H453" s="328">
        <v>0</v>
      </c>
      <c r="I453" s="210"/>
    </row>
    <row r="454" spans="1:9">
      <c r="A454" s="395">
        <v>7</v>
      </c>
      <c r="B454" s="792">
        <v>305100800402000</v>
      </c>
      <c r="C454" s="313" t="s">
        <v>603</v>
      </c>
      <c r="D454" s="322"/>
      <c r="E454" s="328">
        <f t="shared" ref="E454:E517" si="7">+F454+G454</f>
        <v>0</v>
      </c>
      <c r="F454" s="347"/>
      <c r="G454" s="347"/>
      <c r="H454" s="328">
        <v>0</v>
      </c>
      <c r="I454" s="210"/>
    </row>
    <row r="455" spans="1:9" s="216" customFormat="1">
      <c r="A455" s="395">
        <v>8</v>
      </c>
      <c r="B455" s="792">
        <v>305100800403000</v>
      </c>
      <c r="C455" s="313" t="s">
        <v>2597</v>
      </c>
      <c r="D455" s="322"/>
      <c r="E455" s="328">
        <f t="shared" si="7"/>
        <v>0</v>
      </c>
      <c r="F455" s="347"/>
      <c r="G455" s="347"/>
      <c r="H455" s="328">
        <v>0</v>
      </c>
      <c r="I455" s="210"/>
    </row>
    <row r="456" spans="1:9">
      <c r="A456" s="395">
        <v>7</v>
      </c>
      <c r="B456" s="792">
        <v>305100800409000</v>
      </c>
      <c r="C456" s="313" t="s">
        <v>765</v>
      </c>
      <c r="D456" s="322"/>
      <c r="E456" s="328">
        <f t="shared" si="7"/>
        <v>2641687.34</v>
      </c>
      <c r="F456" s="347">
        <v>2641687.34</v>
      </c>
      <c r="G456" s="347"/>
      <c r="H456" s="328">
        <v>2262641.04</v>
      </c>
      <c r="I456" s="210"/>
    </row>
    <row r="457" spans="1:9" ht="25.5">
      <c r="A457" s="394" t="s">
        <v>1969</v>
      </c>
      <c r="B457" s="793" t="s">
        <v>769</v>
      </c>
      <c r="C457" s="310" t="s">
        <v>2249</v>
      </c>
      <c r="D457" s="321"/>
      <c r="E457" s="352"/>
      <c r="F457" s="352"/>
      <c r="G457" s="352"/>
      <c r="H457" s="352">
        <v>0</v>
      </c>
    </row>
    <row r="458" spans="1:9">
      <c r="A458" s="395" t="s">
        <v>1970</v>
      </c>
      <c r="B458" s="792">
        <v>305100800500000</v>
      </c>
      <c r="C458" s="313" t="s">
        <v>768</v>
      </c>
      <c r="D458" s="322"/>
      <c r="E458" s="328">
        <f t="shared" si="7"/>
        <v>0</v>
      </c>
      <c r="F458" s="347"/>
      <c r="G458" s="347"/>
      <c r="H458" s="328">
        <v>0</v>
      </c>
      <c r="I458" s="210"/>
    </row>
    <row r="459" spans="1:9" ht="25.5">
      <c r="A459" s="394" t="s">
        <v>1969</v>
      </c>
      <c r="B459" s="793" t="s">
        <v>771</v>
      </c>
      <c r="C459" s="310" t="s">
        <v>1542</v>
      </c>
      <c r="D459" s="321" t="s">
        <v>1248</v>
      </c>
      <c r="E459" s="352"/>
      <c r="F459" s="352"/>
      <c r="G459" s="352"/>
      <c r="H459" s="352">
        <v>0</v>
      </c>
    </row>
    <row r="460" spans="1:9" ht="24">
      <c r="A460" s="395" t="s">
        <v>1970</v>
      </c>
      <c r="B460" s="792">
        <v>305100800600000</v>
      </c>
      <c r="C460" s="313" t="s">
        <v>770</v>
      </c>
      <c r="D460" s="322" t="s">
        <v>1248</v>
      </c>
      <c r="E460" s="328">
        <f t="shared" si="7"/>
        <v>0</v>
      </c>
      <c r="F460" s="347"/>
      <c r="G460" s="347"/>
      <c r="H460" s="328">
        <v>0</v>
      </c>
      <c r="I460" s="210"/>
    </row>
    <row r="461" spans="1:9" ht="25.5">
      <c r="A461" s="394" t="s">
        <v>1969</v>
      </c>
      <c r="B461" s="793" t="s">
        <v>773</v>
      </c>
      <c r="C461" s="310" t="s">
        <v>2250</v>
      </c>
      <c r="D461" s="321"/>
      <c r="E461" s="352"/>
      <c r="F461" s="352"/>
      <c r="G461" s="352"/>
      <c r="H461" s="352">
        <v>0</v>
      </c>
    </row>
    <row r="462" spans="1:9" ht="24">
      <c r="A462" s="395" t="s">
        <v>1970</v>
      </c>
      <c r="B462" s="792">
        <v>305100800700000</v>
      </c>
      <c r="C462" s="313" t="s">
        <v>772</v>
      </c>
      <c r="D462" s="322"/>
      <c r="E462" s="328">
        <f t="shared" si="7"/>
        <v>0</v>
      </c>
      <c r="F462" s="347"/>
      <c r="G462" s="347"/>
      <c r="H462" s="328">
        <v>0</v>
      </c>
      <c r="I462" s="210"/>
    </row>
    <row r="463" spans="1:9" ht="25.5">
      <c r="A463" s="394" t="s">
        <v>1967</v>
      </c>
      <c r="B463" s="793" t="s">
        <v>774</v>
      </c>
      <c r="C463" s="310" t="s">
        <v>1544</v>
      </c>
      <c r="D463" s="321"/>
      <c r="E463" s="352"/>
      <c r="F463" s="352"/>
      <c r="G463" s="352"/>
      <c r="H463" s="352">
        <v>0</v>
      </c>
    </row>
    <row r="464" spans="1:9">
      <c r="A464" s="395" t="s">
        <v>1969</v>
      </c>
      <c r="B464" s="792">
        <v>305100850000000</v>
      </c>
      <c r="C464" s="313" t="s">
        <v>775</v>
      </c>
      <c r="D464" s="322"/>
      <c r="E464" s="328">
        <f t="shared" si="7"/>
        <v>0</v>
      </c>
      <c r="F464" s="347"/>
      <c r="G464" s="347"/>
      <c r="H464" s="328">
        <v>0</v>
      </c>
      <c r="I464" s="210"/>
    </row>
    <row r="465" spans="1:9">
      <c r="A465" s="394" t="s">
        <v>1965</v>
      </c>
      <c r="B465" s="793" t="s">
        <v>776</v>
      </c>
      <c r="C465" s="310" t="s">
        <v>1545</v>
      </c>
      <c r="D465" s="321"/>
      <c r="E465" s="352"/>
      <c r="F465" s="352"/>
      <c r="G465" s="352"/>
      <c r="H465" s="352">
        <v>0</v>
      </c>
    </row>
    <row r="466" spans="1:9">
      <c r="A466" s="394" t="s">
        <v>1967</v>
      </c>
      <c r="B466" s="793" t="s">
        <v>777</v>
      </c>
      <c r="C466" s="310" t="s">
        <v>2251</v>
      </c>
      <c r="D466" s="321"/>
      <c r="E466" s="352"/>
      <c r="F466" s="352"/>
      <c r="G466" s="352"/>
      <c r="H466" s="352">
        <v>0</v>
      </c>
    </row>
    <row r="467" spans="1:9">
      <c r="A467" s="394" t="s">
        <v>1969</v>
      </c>
      <c r="B467" s="793" t="s">
        <v>779</v>
      </c>
      <c r="C467" s="310" t="s">
        <v>2252</v>
      </c>
      <c r="D467" s="321"/>
      <c r="E467" s="352"/>
      <c r="F467" s="352"/>
      <c r="G467" s="352"/>
      <c r="H467" s="352">
        <v>0</v>
      </c>
    </row>
    <row r="468" spans="1:9">
      <c r="A468" s="395" t="s">
        <v>1970</v>
      </c>
      <c r="B468" s="792">
        <v>305200100500000</v>
      </c>
      <c r="C468" s="313" t="s">
        <v>778</v>
      </c>
      <c r="D468" s="322"/>
      <c r="E468" s="328">
        <f t="shared" si="7"/>
        <v>8719.92</v>
      </c>
      <c r="F468" s="347">
        <v>8719.92</v>
      </c>
      <c r="G468" s="347"/>
      <c r="H468" s="328">
        <v>6522.12</v>
      </c>
      <c r="I468" s="210"/>
    </row>
    <row r="469" spans="1:9">
      <c r="A469" s="394" t="s">
        <v>1969</v>
      </c>
      <c r="B469" s="793" t="s">
        <v>781</v>
      </c>
      <c r="C469" s="310" t="s">
        <v>2253</v>
      </c>
      <c r="D469" s="321"/>
      <c r="E469" s="352"/>
      <c r="F469" s="352"/>
      <c r="G469" s="352"/>
      <c r="H469" s="352">
        <v>0</v>
      </c>
    </row>
    <row r="470" spans="1:9">
      <c r="A470" s="395" t="s">
        <v>1970</v>
      </c>
      <c r="B470" s="792">
        <v>305200100100000</v>
      </c>
      <c r="C470" s="313" t="s">
        <v>780</v>
      </c>
      <c r="D470" s="322"/>
      <c r="E470" s="328">
        <f t="shared" si="7"/>
        <v>54861.24</v>
      </c>
      <c r="F470" s="347">
        <v>54861.24</v>
      </c>
      <c r="G470" s="347"/>
      <c r="H470" s="328">
        <v>51417.599999999999</v>
      </c>
      <c r="I470" s="210"/>
    </row>
    <row r="471" spans="1:9">
      <c r="A471" s="394" t="s">
        <v>1969</v>
      </c>
      <c r="B471" s="793" t="s">
        <v>782</v>
      </c>
      <c r="C471" s="310" t="s">
        <v>2254</v>
      </c>
      <c r="D471" s="321"/>
      <c r="E471" s="352"/>
      <c r="F471" s="352"/>
      <c r="G471" s="352"/>
      <c r="H471" s="352">
        <v>0</v>
      </c>
    </row>
    <row r="472" spans="1:9">
      <c r="A472" s="394" t="s">
        <v>1970</v>
      </c>
      <c r="B472" s="793" t="s">
        <v>784</v>
      </c>
      <c r="C472" s="310" t="s">
        <v>1550</v>
      </c>
      <c r="D472" s="321"/>
      <c r="E472" s="352"/>
      <c r="F472" s="352"/>
      <c r="G472" s="352"/>
      <c r="H472" s="352">
        <v>0</v>
      </c>
    </row>
    <row r="473" spans="1:9">
      <c r="A473" s="395" t="s">
        <v>2017</v>
      </c>
      <c r="B473" s="792">
        <v>305200100151000</v>
      </c>
      <c r="C473" s="313" t="s">
        <v>783</v>
      </c>
      <c r="D473" s="322"/>
      <c r="E473" s="328">
        <f t="shared" si="7"/>
        <v>121762.21</v>
      </c>
      <c r="F473" s="347">
        <v>121762.21</v>
      </c>
      <c r="G473" s="347"/>
      <c r="H473" s="328">
        <v>116472</v>
      </c>
      <c r="I473" s="210"/>
    </row>
    <row r="474" spans="1:9">
      <c r="A474" s="394" t="s">
        <v>1970</v>
      </c>
      <c r="B474" s="793" t="s">
        <v>786</v>
      </c>
      <c r="C474" s="310" t="s">
        <v>1551</v>
      </c>
      <c r="D474" s="321"/>
      <c r="E474" s="352"/>
      <c r="F474" s="352"/>
      <c r="G474" s="352"/>
      <c r="H474" s="352">
        <v>0</v>
      </c>
    </row>
    <row r="475" spans="1:9">
      <c r="A475" s="395" t="s">
        <v>2017</v>
      </c>
      <c r="B475" s="792">
        <v>305200100152000</v>
      </c>
      <c r="C475" s="313" t="s">
        <v>785</v>
      </c>
      <c r="D475" s="322"/>
      <c r="E475" s="328">
        <f t="shared" si="7"/>
        <v>0</v>
      </c>
      <c r="F475" s="347"/>
      <c r="G475" s="347"/>
      <c r="H475" s="328">
        <v>0</v>
      </c>
      <c r="I475" s="210"/>
    </row>
    <row r="476" spans="1:9">
      <c r="A476" s="394" t="s">
        <v>1969</v>
      </c>
      <c r="B476" s="793" t="s">
        <v>788</v>
      </c>
      <c r="C476" s="310" t="s">
        <v>2255</v>
      </c>
      <c r="D476" s="321"/>
      <c r="E476" s="352"/>
      <c r="F476" s="352"/>
      <c r="G476" s="352"/>
      <c r="H476" s="352">
        <v>0</v>
      </c>
    </row>
    <row r="477" spans="1:9">
      <c r="A477" s="395" t="s">
        <v>1970</v>
      </c>
      <c r="B477" s="792">
        <v>305200100200000</v>
      </c>
      <c r="C477" s="313" t="s">
        <v>787</v>
      </c>
      <c r="D477" s="322"/>
      <c r="E477" s="328">
        <f t="shared" si="7"/>
        <v>0</v>
      </c>
      <c r="F477" s="347"/>
      <c r="G477" s="347"/>
      <c r="H477" s="328">
        <v>0</v>
      </c>
      <c r="I477" s="210"/>
    </row>
    <row r="478" spans="1:9">
      <c r="A478" s="394" t="s">
        <v>1969</v>
      </c>
      <c r="B478" s="793" t="s">
        <v>789</v>
      </c>
      <c r="C478" s="310" t="s">
        <v>2256</v>
      </c>
      <c r="D478" s="321"/>
      <c r="E478" s="352"/>
      <c r="F478" s="352"/>
      <c r="G478" s="352"/>
      <c r="H478" s="352">
        <v>0</v>
      </c>
    </row>
    <row r="479" spans="1:9">
      <c r="A479" s="395" t="s">
        <v>1970</v>
      </c>
      <c r="B479" s="792">
        <v>305200100251000</v>
      </c>
      <c r="C479" s="313" t="s">
        <v>790</v>
      </c>
      <c r="D479" s="322"/>
      <c r="E479" s="328">
        <f t="shared" si="7"/>
        <v>0</v>
      </c>
      <c r="F479" s="347"/>
      <c r="G479" s="347"/>
      <c r="H479" s="328">
        <v>0</v>
      </c>
      <c r="I479" s="210"/>
    </row>
    <row r="480" spans="1:9">
      <c r="A480" s="395" t="s">
        <v>1970</v>
      </c>
      <c r="B480" s="792">
        <v>305200100252000</v>
      </c>
      <c r="C480" s="313" t="s">
        <v>791</v>
      </c>
      <c r="D480" s="322"/>
      <c r="E480" s="328">
        <f t="shared" si="7"/>
        <v>0</v>
      </c>
      <c r="F480" s="347"/>
      <c r="G480" s="347"/>
      <c r="H480" s="328">
        <v>0</v>
      </c>
      <c r="I480" s="210"/>
    </row>
    <row r="481" spans="1:9">
      <c r="A481" s="395" t="s">
        <v>1970</v>
      </c>
      <c r="B481" s="792">
        <v>305200100259000</v>
      </c>
      <c r="C481" s="313" t="s">
        <v>792</v>
      </c>
      <c r="D481" s="322"/>
      <c r="E481" s="328">
        <f t="shared" si="7"/>
        <v>76323.039999999994</v>
      </c>
      <c r="F481" s="347">
        <v>76323.039999999994</v>
      </c>
      <c r="G481" s="347"/>
      <c r="H481" s="328">
        <v>61488</v>
      </c>
      <c r="I481" s="210"/>
    </row>
    <row r="482" spans="1:9">
      <c r="A482" s="394" t="s">
        <v>1969</v>
      </c>
      <c r="B482" s="793" t="s">
        <v>794</v>
      </c>
      <c r="C482" s="310" t="s">
        <v>2257</v>
      </c>
      <c r="D482" s="321"/>
      <c r="E482" s="352"/>
      <c r="F482" s="352"/>
      <c r="G482" s="352"/>
      <c r="H482" s="352">
        <v>0</v>
      </c>
    </row>
    <row r="483" spans="1:9">
      <c r="A483" s="395" t="s">
        <v>1970</v>
      </c>
      <c r="B483" s="792">
        <v>305200100300000</v>
      </c>
      <c r="C483" s="313" t="s">
        <v>793</v>
      </c>
      <c r="D483" s="322"/>
      <c r="E483" s="328">
        <f t="shared" si="7"/>
        <v>2281.0700000000002</v>
      </c>
      <c r="F483" s="347">
        <v>2281.0700000000002</v>
      </c>
      <c r="G483" s="347"/>
      <c r="H483" s="328">
        <v>1716.55</v>
      </c>
      <c r="I483" s="210"/>
    </row>
    <row r="484" spans="1:9">
      <c r="A484" s="394" t="s">
        <v>1969</v>
      </c>
      <c r="B484" s="793" t="s">
        <v>796</v>
      </c>
      <c r="C484" s="310" t="s">
        <v>2258</v>
      </c>
      <c r="D484" s="321"/>
      <c r="E484" s="352"/>
      <c r="F484" s="352"/>
      <c r="G484" s="352"/>
      <c r="H484" s="352">
        <v>0</v>
      </c>
    </row>
    <row r="485" spans="1:9">
      <c r="A485" s="395" t="s">
        <v>1970</v>
      </c>
      <c r="B485" s="792">
        <v>305200100350000</v>
      </c>
      <c r="C485" s="313" t="s">
        <v>795</v>
      </c>
      <c r="D485" s="322"/>
      <c r="E485" s="328">
        <f t="shared" si="7"/>
        <v>112382.26</v>
      </c>
      <c r="F485" s="347">
        <v>112382.26</v>
      </c>
      <c r="G485" s="347"/>
      <c r="H485" s="328">
        <v>95873.19</v>
      </c>
      <c r="I485" s="210"/>
    </row>
    <row r="486" spans="1:9">
      <c r="A486" s="394" t="s">
        <v>1969</v>
      </c>
      <c r="B486" s="793" t="s">
        <v>797</v>
      </c>
      <c r="C486" s="310" t="s">
        <v>2259</v>
      </c>
      <c r="D486" s="321"/>
      <c r="E486" s="352"/>
      <c r="F486" s="352"/>
      <c r="G486" s="352"/>
      <c r="H486" s="352">
        <v>0</v>
      </c>
    </row>
    <row r="487" spans="1:9">
      <c r="A487" s="395" t="s">
        <v>1970</v>
      </c>
      <c r="B487" s="792">
        <v>305200100401000</v>
      </c>
      <c r="C487" s="313" t="s">
        <v>798</v>
      </c>
      <c r="D487" s="322"/>
      <c r="E487" s="328">
        <f t="shared" si="7"/>
        <v>113109.8</v>
      </c>
      <c r="F487" s="347">
        <v>113109.8</v>
      </c>
      <c r="G487" s="347"/>
      <c r="H487" s="328">
        <v>104271.58</v>
      </c>
      <c r="I487" s="210"/>
    </row>
    <row r="488" spans="1:9">
      <c r="A488" s="395" t="s">
        <v>1970</v>
      </c>
      <c r="B488" s="792">
        <v>305200100402000</v>
      </c>
      <c r="C488" s="313" t="s">
        <v>799</v>
      </c>
      <c r="D488" s="322"/>
      <c r="E488" s="328">
        <f t="shared" si="7"/>
        <v>0</v>
      </c>
      <c r="F488" s="347"/>
      <c r="G488" s="347"/>
      <c r="H488" s="328">
        <v>0</v>
      </c>
      <c r="I488" s="210"/>
    </row>
    <row r="489" spans="1:9">
      <c r="A489" s="394" t="s">
        <v>1969</v>
      </c>
      <c r="B489" s="793" t="s">
        <v>801</v>
      </c>
      <c r="C489" s="310" t="s">
        <v>2260</v>
      </c>
      <c r="D489" s="321"/>
      <c r="E489" s="352"/>
      <c r="F489" s="352"/>
      <c r="G489" s="352"/>
      <c r="H489" s="352">
        <v>0</v>
      </c>
    </row>
    <row r="490" spans="1:9">
      <c r="A490" s="395" t="s">
        <v>1970</v>
      </c>
      <c r="B490" s="792">
        <v>305200100450000</v>
      </c>
      <c r="C490" s="313" t="s">
        <v>800</v>
      </c>
      <c r="D490" s="322"/>
      <c r="E490" s="328">
        <f t="shared" si="7"/>
        <v>18838.12</v>
      </c>
      <c r="F490" s="347">
        <v>18838.12</v>
      </c>
      <c r="G490" s="347"/>
      <c r="H490" s="328">
        <v>16881.68</v>
      </c>
      <c r="I490" s="210"/>
    </row>
    <row r="491" spans="1:9">
      <c r="A491" s="394" t="s">
        <v>1969</v>
      </c>
      <c r="B491" s="793" t="s">
        <v>803</v>
      </c>
      <c r="C491" s="310" t="s">
        <v>2261</v>
      </c>
      <c r="D491" s="321"/>
      <c r="E491" s="352"/>
      <c r="F491" s="352"/>
      <c r="G491" s="352"/>
      <c r="H491" s="352">
        <v>0</v>
      </c>
    </row>
    <row r="492" spans="1:9">
      <c r="A492" s="395" t="s">
        <v>1970</v>
      </c>
      <c r="B492" s="792">
        <v>305200100501000</v>
      </c>
      <c r="C492" s="313" t="s">
        <v>804</v>
      </c>
      <c r="D492" s="322"/>
      <c r="E492" s="328">
        <f t="shared" si="7"/>
        <v>0</v>
      </c>
      <c r="F492" s="347"/>
      <c r="G492" s="347"/>
      <c r="H492" s="328">
        <v>0</v>
      </c>
      <c r="I492" s="210"/>
    </row>
    <row r="493" spans="1:9">
      <c r="A493" s="395" t="s">
        <v>1970</v>
      </c>
      <c r="B493" s="792">
        <v>305200100502000</v>
      </c>
      <c r="C493" s="313" t="s">
        <v>805</v>
      </c>
      <c r="D493" s="322"/>
      <c r="E493" s="328">
        <f t="shared" si="7"/>
        <v>0</v>
      </c>
      <c r="F493" s="347"/>
      <c r="G493" s="347"/>
      <c r="H493" s="328">
        <v>0</v>
      </c>
      <c r="I493" s="210"/>
    </row>
    <row r="494" spans="1:9">
      <c r="A494" s="395" t="s">
        <v>1970</v>
      </c>
      <c r="B494" s="792">
        <v>305200100503000</v>
      </c>
      <c r="C494" s="313" t="s">
        <v>806</v>
      </c>
      <c r="D494" s="322"/>
      <c r="E494" s="328">
        <f t="shared" si="7"/>
        <v>232025.8</v>
      </c>
      <c r="F494" s="347">
        <v>232025.8</v>
      </c>
      <c r="G494" s="347"/>
      <c r="H494" s="328">
        <v>231698.02</v>
      </c>
      <c r="I494" s="210"/>
    </row>
    <row r="495" spans="1:9">
      <c r="A495" s="395" t="s">
        <v>1970</v>
      </c>
      <c r="B495" s="792">
        <v>305200100504000</v>
      </c>
      <c r="C495" s="313" t="s">
        <v>807</v>
      </c>
      <c r="D495" s="322"/>
      <c r="E495" s="328">
        <f t="shared" si="7"/>
        <v>40422.71</v>
      </c>
      <c r="F495" s="347">
        <v>40422.71</v>
      </c>
      <c r="G495" s="347"/>
      <c r="H495" s="328">
        <v>41681.5</v>
      </c>
      <c r="I495" s="210"/>
    </row>
    <row r="496" spans="1:9">
      <c r="A496" s="395" t="s">
        <v>1970</v>
      </c>
      <c r="B496" s="792">
        <v>305200100505000</v>
      </c>
      <c r="C496" s="313" t="s">
        <v>802</v>
      </c>
      <c r="D496" s="322"/>
      <c r="E496" s="328">
        <f t="shared" si="7"/>
        <v>0</v>
      </c>
      <c r="F496" s="347"/>
      <c r="G496" s="347"/>
      <c r="H496" s="328">
        <v>0</v>
      </c>
      <c r="I496" s="210"/>
    </row>
    <row r="497" spans="1:9">
      <c r="A497" s="394" t="s">
        <v>1969</v>
      </c>
      <c r="B497" s="793" t="s">
        <v>808</v>
      </c>
      <c r="C497" s="310" t="s">
        <v>2262</v>
      </c>
      <c r="D497" s="321"/>
      <c r="E497" s="352"/>
      <c r="F497" s="352"/>
      <c r="G497" s="352"/>
      <c r="H497" s="352">
        <v>0</v>
      </c>
    </row>
    <row r="498" spans="1:9">
      <c r="A498" s="394" t="s">
        <v>1970</v>
      </c>
      <c r="B498" s="793" t="s">
        <v>809</v>
      </c>
      <c r="C498" s="310" t="s">
        <v>2263</v>
      </c>
      <c r="D498" s="321"/>
      <c r="E498" s="352"/>
      <c r="F498" s="352"/>
      <c r="G498" s="352"/>
      <c r="H498" s="352">
        <v>0</v>
      </c>
    </row>
    <row r="499" spans="1:9">
      <c r="A499" s="395" t="s">
        <v>2017</v>
      </c>
      <c r="B499" s="792">
        <v>305200100551000</v>
      </c>
      <c r="C499" s="313" t="s">
        <v>2264</v>
      </c>
      <c r="D499" s="322"/>
      <c r="E499" s="328">
        <f t="shared" si="7"/>
        <v>3920220.38</v>
      </c>
      <c r="F499" s="347">
        <v>3920220.38</v>
      </c>
      <c r="G499" s="347"/>
      <c r="H499" s="328">
        <v>3894756.28</v>
      </c>
      <c r="I499" s="210"/>
    </row>
    <row r="500" spans="1:9" ht="25.5">
      <c r="A500" s="394" t="s">
        <v>1970</v>
      </c>
      <c r="B500" s="793" t="s">
        <v>811</v>
      </c>
      <c r="C500" s="310" t="s">
        <v>2265</v>
      </c>
      <c r="D500" s="321"/>
      <c r="E500" s="352"/>
      <c r="F500" s="352"/>
      <c r="G500" s="352"/>
      <c r="H500" s="352">
        <v>0</v>
      </c>
    </row>
    <row r="501" spans="1:9">
      <c r="A501" s="395" t="s">
        <v>2017</v>
      </c>
      <c r="B501" s="792">
        <v>305200100552000</v>
      </c>
      <c r="C501" s="313" t="s">
        <v>810</v>
      </c>
      <c r="D501" s="322"/>
      <c r="E501" s="328">
        <f t="shared" si="7"/>
        <v>34813.300000000003</v>
      </c>
      <c r="F501" s="347">
        <v>34813.300000000003</v>
      </c>
      <c r="G501" s="347"/>
      <c r="H501" s="328">
        <v>34703.879999999997</v>
      </c>
      <c r="I501" s="210"/>
    </row>
    <row r="502" spans="1:9">
      <c r="A502" s="394" t="s">
        <v>1969</v>
      </c>
      <c r="B502" s="793" t="s">
        <v>812</v>
      </c>
      <c r="C502" s="310" t="s">
        <v>1562</v>
      </c>
      <c r="D502" s="321"/>
      <c r="E502" s="352"/>
      <c r="F502" s="352"/>
      <c r="G502" s="352"/>
      <c r="H502" s="352">
        <v>0</v>
      </c>
    </row>
    <row r="503" spans="1:9" ht="25.5">
      <c r="A503" s="394" t="s">
        <v>1970</v>
      </c>
      <c r="B503" s="793" t="s">
        <v>814</v>
      </c>
      <c r="C503" s="310" t="s">
        <v>1563</v>
      </c>
      <c r="D503" s="321" t="s">
        <v>1248</v>
      </c>
      <c r="E503" s="352"/>
      <c r="F503" s="352"/>
      <c r="G503" s="352"/>
      <c r="H503" s="352">
        <v>0</v>
      </c>
    </row>
    <row r="504" spans="1:9" ht="24">
      <c r="A504" s="395" t="s">
        <v>2017</v>
      </c>
      <c r="B504" s="792">
        <v>305200100601000</v>
      </c>
      <c r="C504" s="313" t="s">
        <v>813</v>
      </c>
      <c r="D504" s="322" t="s">
        <v>1248</v>
      </c>
      <c r="E504" s="328">
        <f t="shared" si="7"/>
        <v>0</v>
      </c>
      <c r="F504" s="347"/>
      <c r="G504" s="347"/>
      <c r="H504" s="328">
        <v>0</v>
      </c>
      <c r="I504" s="210"/>
    </row>
    <row r="505" spans="1:9" ht="25.5">
      <c r="A505" s="394" t="s">
        <v>1970</v>
      </c>
      <c r="B505" s="793" t="s">
        <v>815</v>
      </c>
      <c r="C505" s="310" t="s">
        <v>1564</v>
      </c>
      <c r="D505" s="321"/>
      <c r="E505" s="352"/>
      <c r="F505" s="352"/>
      <c r="G505" s="352"/>
      <c r="H505" s="352">
        <v>0</v>
      </c>
    </row>
    <row r="506" spans="1:9">
      <c r="A506" s="395" t="s">
        <v>2017</v>
      </c>
      <c r="B506" s="792">
        <v>305200100602005</v>
      </c>
      <c r="C506" s="313" t="s">
        <v>816</v>
      </c>
      <c r="D506" s="322"/>
      <c r="E506" s="328">
        <f t="shared" si="7"/>
        <v>182114</v>
      </c>
      <c r="F506" s="347">
        <v>182114</v>
      </c>
      <c r="G506" s="347"/>
      <c r="H506" s="328">
        <v>147562</v>
      </c>
      <c r="I506" s="210"/>
    </row>
    <row r="507" spans="1:9">
      <c r="A507" s="395" t="s">
        <v>2017</v>
      </c>
      <c r="B507" s="792">
        <v>305200100602010</v>
      </c>
      <c r="C507" s="313" t="s">
        <v>817</v>
      </c>
      <c r="D507" s="322"/>
      <c r="E507" s="328">
        <f t="shared" si="7"/>
        <v>0</v>
      </c>
      <c r="F507" s="347"/>
      <c r="G507" s="347"/>
      <c r="H507" s="328">
        <v>0</v>
      </c>
      <c r="I507" s="210"/>
    </row>
    <row r="508" spans="1:9">
      <c r="A508" s="394" t="s">
        <v>1970</v>
      </c>
      <c r="B508" s="793" t="s">
        <v>819</v>
      </c>
      <c r="C508" s="310" t="s">
        <v>1565</v>
      </c>
      <c r="D508" s="321"/>
      <c r="E508" s="352"/>
      <c r="F508" s="352"/>
      <c r="G508" s="352"/>
      <c r="H508" s="352">
        <v>0</v>
      </c>
    </row>
    <row r="509" spans="1:9">
      <c r="A509" s="395" t="s">
        <v>2017</v>
      </c>
      <c r="B509" s="792">
        <v>305200100603005</v>
      </c>
      <c r="C509" s="313" t="s">
        <v>820</v>
      </c>
      <c r="D509" s="322"/>
      <c r="E509" s="328">
        <f t="shared" si="7"/>
        <v>0</v>
      </c>
      <c r="F509" s="347"/>
      <c r="G509" s="347"/>
      <c r="H509" s="328">
        <v>0</v>
      </c>
      <c r="I509" s="210"/>
    </row>
    <row r="510" spans="1:9">
      <c r="A510" s="395" t="s">
        <v>2017</v>
      </c>
      <c r="B510" s="792">
        <v>305200100603010</v>
      </c>
      <c r="C510" s="313" t="s">
        <v>821</v>
      </c>
      <c r="D510" s="322"/>
      <c r="E510" s="328">
        <f t="shared" si="7"/>
        <v>0</v>
      </c>
      <c r="F510" s="347"/>
      <c r="G510" s="347"/>
      <c r="H510" s="328">
        <v>0</v>
      </c>
      <c r="I510" s="210"/>
    </row>
    <row r="511" spans="1:9">
      <c r="A511" s="395" t="s">
        <v>2017</v>
      </c>
      <c r="B511" s="792">
        <v>305200100603015</v>
      </c>
      <c r="C511" s="313" t="s">
        <v>822</v>
      </c>
      <c r="D511" s="322"/>
      <c r="E511" s="328">
        <f t="shared" si="7"/>
        <v>0</v>
      </c>
      <c r="F511" s="347"/>
      <c r="G511" s="347"/>
      <c r="H511" s="328">
        <v>4</v>
      </c>
      <c r="I511" s="210"/>
    </row>
    <row r="512" spans="1:9">
      <c r="A512" s="395" t="s">
        <v>2017</v>
      </c>
      <c r="B512" s="792">
        <v>305200100603020</v>
      </c>
      <c r="C512" s="313" t="s">
        <v>823</v>
      </c>
      <c r="D512" s="322"/>
      <c r="E512" s="328">
        <f t="shared" si="7"/>
        <v>0</v>
      </c>
      <c r="F512" s="347"/>
      <c r="G512" s="347"/>
      <c r="H512" s="328">
        <v>0</v>
      </c>
      <c r="I512" s="210"/>
    </row>
    <row r="513" spans="1:9">
      <c r="A513" s="395" t="s">
        <v>2017</v>
      </c>
      <c r="B513" s="792">
        <v>305200100603025</v>
      </c>
      <c r="C513" s="313" t="s">
        <v>824</v>
      </c>
      <c r="D513" s="322"/>
      <c r="E513" s="328">
        <f t="shared" si="7"/>
        <v>0</v>
      </c>
      <c r="F513" s="347"/>
      <c r="G513" s="347"/>
      <c r="H513" s="328">
        <v>1014.5</v>
      </c>
      <c r="I513" s="210"/>
    </row>
    <row r="514" spans="1:9">
      <c r="A514" s="395" t="s">
        <v>2017</v>
      </c>
      <c r="B514" s="792">
        <v>305200100603030</v>
      </c>
      <c r="C514" s="313" t="s">
        <v>825</v>
      </c>
      <c r="D514" s="322"/>
      <c r="E514" s="328">
        <f t="shared" si="7"/>
        <v>43978.25</v>
      </c>
      <c r="F514" s="347">
        <v>43978.25</v>
      </c>
      <c r="G514" s="347"/>
      <c r="H514" s="328">
        <v>225058.72</v>
      </c>
      <c r="I514" s="210"/>
    </row>
    <row r="515" spans="1:9">
      <c r="A515" s="395" t="s">
        <v>2017</v>
      </c>
      <c r="B515" s="792">
        <v>305200100603035</v>
      </c>
      <c r="C515" s="313" t="s">
        <v>826</v>
      </c>
      <c r="D515" s="322"/>
      <c r="E515" s="328">
        <f t="shared" si="7"/>
        <v>183351.67</v>
      </c>
      <c r="F515" s="347">
        <v>183351.67</v>
      </c>
      <c r="G515" s="347"/>
      <c r="H515" s="328">
        <v>81401.89</v>
      </c>
      <c r="I515" s="210"/>
    </row>
    <row r="516" spans="1:9">
      <c r="A516" s="395" t="s">
        <v>2017</v>
      </c>
      <c r="B516" s="792">
        <v>305200100603040</v>
      </c>
      <c r="C516" s="313" t="s">
        <v>827</v>
      </c>
      <c r="D516" s="322"/>
      <c r="E516" s="328">
        <f t="shared" si="7"/>
        <v>308.60000000000002</v>
      </c>
      <c r="F516" s="347">
        <v>308.60000000000002</v>
      </c>
      <c r="G516" s="347"/>
      <c r="H516" s="328">
        <v>399.12</v>
      </c>
      <c r="I516" s="210"/>
    </row>
    <row r="517" spans="1:9" s="216" customFormat="1">
      <c r="A517" s="395" t="s">
        <v>2017</v>
      </c>
      <c r="B517" s="794">
        <v>305200100603045</v>
      </c>
      <c r="C517" s="313" t="s">
        <v>828</v>
      </c>
      <c r="D517" s="322"/>
      <c r="E517" s="328">
        <f t="shared" si="7"/>
        <v>302</v>
      </c>
      <c r="F517" s="347">
        <v>302</v>
      </c>
      <c r="G517" s="347"/>
      <c r="H517" s="328">
        <v>1738</v>
      </c>
      <c r="I517" s="210"/>
    </row>
    <row r="518" spans="1:9" s="216" customFormat="1">
      <c r="A518" s="395" t="s">
        <v>2017</v>
      </c>
      <c r="B518" s="792">
        <v>305200100603050</v>
      </c>
      <c r="C518" s="313" t="s">
        <v>829</v>
      </c>
      <c r="D518" s="322"/>
      <c r="E518" s="328">
        <f t="shared" ref="E518:E580" si="8">+F518+G518</f>
        <v>0</v>
      </c>
      <c r="F518" s="347"/>
      <c r="G518" s="347"/>
      <c r="H518" s="328">
        <v>117.96</v>
      </c>
      <c r="I518" s="210"/>
    </row>
    <row r="519" spans="1:9">
      <c r="A519" s="395" t="s">
        <v>2017</v>
      </c>
      <c r="B519" s="792">
        <v>305200100603055</v>
      </c>
      <c r="C519" s="313" t="s">
        <v>830</v>
      </c>
      <c r="D519" s="322"/>
      <c r="E519" s="328">
        <f t="shared" si="8"/>
        <v>50273.3</v>
      </c>
      <c r="F519" s="347">
        <v>50273.3</v>
      </c>
      <c r="G519" s="347"/>
      <c r="H519" s="328">
        <v>176600.68</v>
      </c>
      <c r="I519" s="210"/>
    </row>
    <row r="520" spans="1:9">
      <c r="A520" s="395" t="s">
        <v>2017</v>
      </c>
      <c r="B520" s="792">
        <v>305200100603060</v>
      </c>
      <c r="C520" s="313" t="s">
        <v>831</v>
      </c>
      <c r="D520" s="322"/>
      <c r="E520" s="328">
        <f t="shared" si="8"/>
        <v>20289.89</v>
      </c>
      <c r="F520" s="347">
        <v>20289.89</v>
      </c>
      <c r="G520" s="347"/>
      <c r="H520" s="328">
        <v>17502.5</v>
      </c>
      <c r="I520" s="210"/>
    </row>
    <row r="521" spans="1:9">
      <c r="A521" s="395" t="s">
        <v>2017</v>
      </c>
      <c r="B521" s="792">
        <v>305200100603065</v>
      </c>
      <c r="C521" s="313" t="s">
        <v>832</v>
      </c>
      <c r="D521" s="322"/>
      <c r="E521" s="328">
        <f t="shared" si="8"/>
        <v>0</v>
      </c>
      <c r="F521" s="347"/>
      <c r="G521" s="347"/>
      <c r="H521" s="328">
        <v>2430.86</v>
      </c>
      <c r="I521" s="210"/>
    </row>
    <row r="522" spans="1:9">
      <c r="A522" s="395" t="s">
        <v>2017</v>
      </c>
      <c r="B522" s="792">
        <v>305200100603080</v>
      </c>
      <c r="C522" s="313" t="s">
        <v>833</v>
      </c>
      <c r="D522" s="322"/>
      <c r="E522" s="328">
        <f t="shared" si="8"/>
        <v>0</v>
      </c>
      <c r="F522" s="347"/>
      <c r="G522" s="347"/>
      <c r="H522" s="328">
        <v>0</v>
      </c>
      <c r="I522" s="210"/>
    </row>
    <row r="523" spans="1:9">
      <c r="A523" s="395" t="s">
        <v>2017</v>
      </c>
      <c r="B523" s="792">
        <v>305200100603090</v>
      </c>
      <c r="C523" s="313" t="s">
        <v>818</v>
      </c>
      <c r="D523" s="322"/>
      <c r="E523" s="328">
        <f t="shared" si="8"/>
        <v>13182362.189999999</v>
      </c>
      <c r="F523" s="347">
        <v>13182362.189999999</v>
      </c>
      <c r="G523" s="347"/>
      <c r="H523" s="328">
        <v>12563831.23</v>
      </c>
      <c r="I523" s="210"/>
    </row>
    <row r="524" spans="1:9" ht="25.5">
      <c r="A524" s="394" t="s">
        <v>1967</v>
      </c>
      <c r="B524" s="793" t="s">
        <v>834</v>
      </c>
      <c r="C524" s="310" t="s">
        <v>2266</v>
      </c>
      <c r="D524" s="321"/>
      <c r="E524" s="352"/>
      <c r="F524" s="352"/>
      <c r="G524" s="352"/>
      <c r="H524" s="352">
        <v>0</v>
      </c>
    </row>
    <row r="525" spans="1:9" ht="25.5">
      <c r="A525" s="394" t="s">
        <v>1969</v>
      </c>
      <c r="B525" s="793" t="s">
        <v>836</v>
      </c>
      <c r="C525" s="310" t="s">
        <v>1567</v>
      </c>
      <c r="D525" s="321" t="s">
        <v>1248</v>
      </c>
      <c r="E525" s="352"/>
      <c r="F525" s="352"/>
      <c r="G525" s="352"/>
      <c r="H525" s="352">
        <v>0</v>
      </c>
    </row>
    <row r="526" spans="1:9" ht="24">
      <c r="A526" s="395" t="s">
        <v>1970</v>
      </c>
      <c r="B526" s="792">
        <v>305200200100000</v>
      </c>
      <c r="C526" s="313" t="s">
        <v>835</v>
      </c>
      <c r="D526" s="322" t="s">
        <v>1248</v>
      </c>
      <c r="E526" s="328">
        <f t="shared" si="8"/>
        <v>16931.64</v>
      </c>
      <c r="F526" s="347">
        <v>16931.64</v>
      </c>
      <c r="G526" s="347"/>
      <c r="H526" s="328">
        <v>17058.68</v>
      </c>
      <c r="I526" s="210"/>
    </row>
    <row r="527" spans="1:9" ht="25.5">
      <c r="A527" s="394" t="s">
        <v>1969</v>
      </c>
      <c r="B527" s="793" t="s">
        <v>838</v>
      </c>
      <c r="C527" s="310" t="s">
        <v>1568</v>
      </c>
      <c r="D527" s="321"/>
      <c r="E527" s="352"/>
      <c r="F527" s="352"/>
      <c r="G527" s="352"/>
      <c r="H527" s="352">
        <v>0</v>
      </c>
    </row>
    <row r="528" spans="1:9">
      <c r="A528" s="395" t="s">
        <v>1970</v>
      </c>
      <c r="B528" s="792">
        <v>305200200200000</v>
      </c>
      <c r="C528" s="313" t="s">
        <v>837</v>
      </c>
      <c r="D528" s="322"/>
      <c r="E528" s="328">
        <f t="shared" si="8"/>
        <v>0</v>
      </c>
      <c r="F528" s="347"/>
      <c r="G528" s="347"/>
      <c r="H528" s="328">
        <v>0</v>
      </c>
      <c r="I528" s="210"/>
    </row>
    <row r="529" spans="1:9" ht="25.5">
      <c r="A529" s="394" t="s">
        <v>1969</v>
      </c>
      <c r="B529" s="793" t="s">
        <v>839</v>
      </c>
      <c r="C529" s="310" t="s">
        <v>1569</v>
      </c>
      <c r="D529" s="321"/>
      <c r="E529" s="352"/>
      <c r="F529" s="352"/>
      <c r="G529" s="352"/>
      <c r="H529" s="352">
        <v>0</v>
      </c>
    </row>
    <row r="530" spans="1:9">
      <c r="A530" s="394" t="s">
        <v>1970</v>
      </c>
      <c r="B530" s="793" t="s">
        <v>840</v>
      </c>
      <c r="C530" s="310" t="s">
        <v>1570</v>
      </c>
      <c r="D530" s="321"/>
      <c r="E530" s="352"/>
      <c r="F530" s="352"/>
      <c r="G530" s="352"/>
      <c r="H530" s="352">
        <v>0</v>
      </c>
    </row>
    <row r="531" spans="1:9">
      <c r="A531" s="395" t="s">
        <v>2017</v>
      </c>
      <c r="B531" s="792">
        <v>305200200301005</v>
      </c>
      <c r="C531" s="313" t="s">
        <v>841</v>
      </c>
      <c r="D531" s="322"/>
      <c r="E531" s="328">
        <f t="shared" si="8"/>
        <v>7515.2</v>
      </c>
      <c r="F531" s="347">
        <v>7515.2</v>
      </c>
      <c r="G531" s="347"/>
      <c r="H531" s="328">
        <v>7515.2</v>
      </c>
      <c r="I531" s="210"/>
    </row>
    <row r="532" spans="1:9">
      <c r="A532" s="395" t="s">
        <v>2017</v>
      </c>
      <c r="B532" s="792">
        <v>305200200301010</v>
      </c>
      <c r="C532" s="313" t="s">
        <v>842</v>
      </c>
      <c r="D532" s="322"/>
      <c r="E532" s="328">
        <f t="shared" si="8"/>
        <v>0</v>
      </c>
      <c r="F532" s="347"/>
      <c r="G532" s="347"/>
      <c r="H532" s="328">
        <v>0</v>
      </c>
      <c r="I532" s="210"/>
    </row>
    <row r="533" spans="1:9">
      <c r="A533" s="395" t="s">
        <v>2017</v>
      </c>
      <c r="B533" s="792">
        <v>305200200301015</v>
      </c>
      <c r="C533" s="313" t="s">
        <v>843</v>
      </c>
      <c r="D533" s="322"/>
      <c r="E533" s="328">
        <f t="shared" si="8"/>
        <v>0</v>
      </c>
      <c r="F533" s="347"/>
      <c r="G533" s="347"/>
      <c r="H533" s="328">
        <v>0</v>
      </c>
      <c r="I533" s="210"/>
    </row>
    <row r="534" spans="1:9">
      <c r="A534" s="395" t="s">
        <v>2017</v>
      </c>
      <c r="B534" s="792">
        <v>305200200301020</v>
      </c>
      <c r="C534" s="313" t="s">
        <v>844</v>
      </c>
      <c r="D534" s="322"/>
      <c r="E534" s="328">
        <f t="shared" si="8"/>
        <v>0</v>
      </c>
      <c r="F534" s="347"/>
      <c r="G534" s="347"/>
      <c r="H534" s="328">
        <v>0</v>
      </c>
      <c r="I534" s="210"/>
    </row>
    <row r="535" spans="1:9">
      <c r="A535" s="395" t="s">
        <v>2017</v>
      </c>
      <c r="B535" s="792">
        <v>305200200301090</v>
      </c>
      <c r="C535" s="313" t="s">
        <v>845</v>
      </c>
      <c r="D535" s="322"/>
      <c r="E535" s="328">
        <f t="shared" si="8"/>
        <v>0</v>
      </c>
      <c r="F535" s="347"/>
      <c r="G535" s="347"/>
      <c r="H535" s="328">
        <v>0</v>
      </c>
      <c r="I535" s="210"/>
    </row>
    <row r="536" spans="1:9" ht="25.5">
      <c r="A536" s="394" t="s">
        <v>1970</v>
      </c>
      <c r="B536" s="793" t="s">
        <v>847</v>
      </c>
      <c r="C536" s="310" t="s">
        <v>1571</v>
      </c>
      <c r="D536" s="321"/>
      <c r="E536" s="352"/>
      <c r="F536" s="352"/>
      <c r="G536" s="352"/>
      <c r="H536" s="352">
        <v>0</v>
      </c>
    </row>
    <row r="537" spans="1:9" ht="24">
      <c r="A537" s="395" t="s">
        <v>2017</v>
      </c>
      <c r="B537" s="792">
        <v>305200200302000</v>
      </c>
      <c r="C537" s="313" t="s">
        <v>846</v>
      </c>
      <c r="D537" s="322"/>
      <c r="E537" s="328">
        <f t="shared" si="8"/>
        <v>0</v>
      </c>
      <c r="F537" s="347"/>
      <c r="G537" s="347"/>
      <c r="H537" s="328">
        <v>0</v>
      </c>
      <c r="I537" s="210"/>
    </row>
    <row r="538" spans="1:9" ht="25.5">
      <c r="A538" s="394" t="s">
        <v>1970</v>
      </c>
      <c r="B538" s="793" t="s">
        <v>848</v>
      </c>
      <c r="C538" s="310" t="s">
        <v>2267</v>
      </c>
      <c r="D538" s="321"/>
      <c r="E538" s="352"/>
      <c r="F538" s="352"/>
      <c r="G538" s="352"/>
      <c r="H538" s="352">
        <v>0</v>
      </c>
    </row>
    <row r="539" spans="1:9">
      <c r="A539" s="395" t="s">
        <v>2017</v>
      </c>
      <c r="B539" s="792">
        <v>305200200303000</v>
      </c>
      <c r="C539" s="313" t="s">
        <v>2268</v>
      </c>
      <c r="D539" s="322"/>
      <c r="E539" s="328">
        <f t="shared" si="8"/>
        <v>0</v>
      </c>
      <c r="F539" s="347"/>
      <c r="G539" s="347"/>
      <c r="H539" s="328">
        <v>0</v>
      </c>
      <c r="I539" s="210"/>
    </row>
    <row r="540" spans="1:9">
      <c r="A540" s="394" t="s">
        <v>1970</v>
      </c>
      <c r="B540" s="793" t="s">
        <v>849</v>
      </c>
      <c r="C540" s="310" t="s">
        <v>2269</v>
      </c>
      <c r="D540" s="321"/>
      <c r="E540" s="352"/>
      <c r="F540" s="352"/>
      <c r="G540" s="352"/>
      <c r="H540" s="352">
        <v>0</v>
      </c>
    </row>
    <row r="541" spans="1:9">
      <c r="A541" s="395" t="s">
        <v>2017</v>
      </c>
      <c r="B541" s="792">
        <v>305200200304000</v>
      </c>
      <c r="C541" s="313" t="s">
        <v>2270</v>
      </c>
      <c r="D541" s="322"/>
      <c r="E541" s="328">
        <f t="shared" si="8"/>
        <v>110231.83</v>
      </c>
      <c r="F541" s="347">
        <v>110231.83</v>
      </c>
      <c r="G541" s="347"/>
      <c r="H541" s="328">
        <v>574477.9</v>
      </c>
      <c r="I541" s="210"/>
    </row>
    <row r="542" spans="1:9" ht="25.5">
      <c r="A542" s="394" t="s">
        <v>1970</v>
      </c>
      <c r="B542" s="793" t="s">
        <v>850</v>
      </c>
      <c r="C542" s="310" t="s">
        <v>2271</v>
      </c>
      <c r="D542" s="321"/>
      <c r="E542" s="352"/>
      <c r="F542" s="352"/>
      <c r="G542" s="352"/>
      <c r="H542" s="352">
        <v>0</v>
      </c>
    </row>
    <row r="543" spans="1:9">
      <c r="A543" s="395" t="s">
        <v>2017</v>
      </c>
      <c r="B543" s="792">
        <v>305200200305010</v>
      </c>
      <c r="C543" s="313" t="s">
        <v>851</v>
      </c>
      <c r="D543" s="322"/>
      <c r="E543" s="328">
        <f t="shared" si="8"/>
        <v>0</v>
      </c>
      <c r="F543" s="347"/>
      <c r="G543" s="347"/>
      <c r="H543" s="328">
        <v>0</v>
      </c>
      <c r="I543" s="210"/>
    </row>
    <row r="544" spans="1:9" ht="24">
      <c r="A544" s="395" t="s">
        <v>2017</v>
      </c>
      <c r="B544" s="792">
        <v>305200200305020</v>
      </c>
      <c r="C544" s="313" t="s">
        <v>852</v>
      </c>
      <c r="D544" s="322"/>
      <c r="E544" s="328">
        <f t="shared" si="8"/>
        <v>0</v>
      </c>
      <c r="F544" s="347"/>
      <c r="G544" s="347"/>
      <c r="H544" s="328">
        <v>0</v>
      </c>
      <c r="I544" s="210"/>
    </row>
    <row r="545" spans="1:9">
      <c r="A545" s="395" t="s">
        <v>2017</v>
      </c>
      <c r="B545" s="792">
        <v>305200200305030</v>
      </c>
      <c r="C545" s="313" t="s">
        <v>853</v>
      </c>
      <c r="D545" s="322"/>
      <c r="E545" s="328">
        <f t="shared" si="8"/>
        <v>0</v>
      </c>
      <c r="F545" s="347"/>
      <c r="G545" s="347"/>
      <c r="H545" s="328">
        <v>0</v>
      </c>
      <c r="I545" s="210"/>
    </row>
    <row r="546" spans="1:9">
      <c r="A546" s="395" t="s">
        <v>2017</v>
      </c>
      <c r="B546" s="792">
        <v>305200200305040</v>
      </c>
      <c r="C546" s="313" t="s">
        <v>854</v>
      </c>
      <c r="D546" s="322"/>
      <c r="E546" s="328">
        <f t="shared" si="8"/>
        <v>37860.92</v>
      </c>
      <c r="F546" s="347">
        <v>37860.92</v>
      </c>
      <c r="G546" s="347"/>
      <c r="H546" s="328">
        <v>33373.82</v>
      </c>
      <c r="I546" s="210"/>
    </row>
    <row r="547" spans="1:9">
      <c r="A547" s="395" t="s">
        <v>2017</v>
      </c>
      <c r="B547" s="792">
        <v>305200200305090</v>
      </c>
      <c r="C547" s="313" t="s">
        <v>2272</v>
      </c>
      <c r="D547" s="322"/>
      <c r="E547" s="328">
        <f t="shared" si="8"/>
        <v>79509.77</v>
      </c>
      <c r="F547" s="347">
        <v>79509.77</v>
      </c>
      <c r="G547" s="347"/>
      <c r="H547" s="328">
        <v>90050.93</v>
      </c>
      <c r="I547" s="210"/>
    </row>
    <row r="548" spans="1:9" ht="51">
      <c r="A548" s="394" t="s">
        <v>1970</v>
      </c>
      <c r="B548" s="793" t="s">
        <v>855</v>
      </c>
      <c r="C548" s="310" t="s">
        <v>2273</v>
      </c>
      <c r="D548" s="321"/>
      <c r="E548" s="352"/>
      <c r="F548" s="352"/>
      <c r="G548" s="352"/>
      <c r="H548" s="352">
        <v>0</v>
      </c>
    </row>
    <row r="549" spans="1:9" ht="48">
      <c r="A549" s="395" t="s">
        <v>2017</v>
      </c>
      <c r="B549" s="792">
        <v>305200200306000</v>
      </c>
      <c r="C549" s="313" t="s">
        <v>2274</v>
      </c>
      <c r="D549" s="322"/>
      <c r="E549" s="328">
        <f t="shared" si="8"/>
        <v>0</v>
      </c>
      <c r="F549" s="347"/>
      <c r="G549" s="347"/>
      <c r="H549" s="328">
        <v>0</v>
      </c>
      <c r="I549" s="210"/>
    </row>
    <row r="550" spans="1:9" ht="25.5">
      <c r="A550" s="394" t="s">
        <v>1969</v>
      </c>
      <c r="B550" s="793" t="s">
        <v>856</v>
      </c>
      <c r="C550" s="310" t="s">
        <v>1576</v>
      </c>
      <c r="D550" s="321"/>
      <c r="E550" s="352"/>
      <c r="F550" s="352"/>
      <c r="G550" s="352"/>
      <c r="H550" s="352">
        <v>0</v>
      </c>
    </row>
    <row r="551" spans="1:9" ht="38.25">
      <c r="A551" s="394" t="s">
        <v>1970</v>
      </c>
      <c r="B551" s="793" t="s">
        <v>858</v>
      </c>
      <c r="C551" s="310" t="s">
        <v>1577</v>
      </c>
      <c r="D551" s="321" t="s">
        <v>1248</v>
      </c>
      <c r="E551" s="352"/>
      <c r="F551" s="352"/>
      <c r="G551" s="352"/>
      <c r="H551" s="352">
        <v>0</v>
      </c>
    </row>
    <row r="552" spans="1:9" ht="24">
      <c r="A552" s="395" t="s">
        <v>2017</v>
      </c>
      <c r="B552" s="792">
        <v>305200200401000</v>
      </c>
      <c r="C552" s="313" t="s">
        <v>857</v>
      </c>
      <c r="D552" s="322" t="s">
        <v>1248</v>
      </c>
      <c r="E552" s="328">
        <f t="shared" si="8"/>
        <v>2284.15</v>
      </c>
      <c r="F552" s="347">
        <v>2284.15</v>
      </c>
      <c r="G552" s="347"/>
      <c r="H552" s="328">
        <v>0</v>
      </c>
      <c r="I552" s="210"/>
    </row>
    <row r="553" spans="1:9" ht="38.25">
      <c r="A553" s="394" t="s">
        <v>1970</v>
      </c>
      <c r="B553" s="793" t="s">
        <v>860</v>
      </c>
      <c r="C553" s="310" t="s">
        <v>1578</v>
      </c>
      <c r="D553" s="321"/>
      <c r="E553" s="352"/>
      <c r="F553" s="352"/>
      <c r="G553" s="352"/>
      <c r="H553" s="352">
        <v>0</v>
      </c>
    </row>
    <row r="554" spans="1:9" ht="24">
      <c r="A554" s="395" t="s">
        <v>2017</v>
      </c>
      <c r="B554" s="792">
        <v>305200200402000</v>
      </c>
      <c r="C554" s="313" t="s">
        <v>859</v>
      </c>
      <c r="D554" s="322"/>
      <c r="E554" s="328">
        <f t="shared" si="8"/>
        <v>0</v>
      </c>
      <c r="F554" s="347"/>
      <c r="G554" s="347"/>
      <c r="H554" s="328">
        <v>0</v>
      </c>
      <c r="I554" s="210"/>
    </row>
    <row r="555" spans="1:9" ht="38.25">
      <c r="A555" s="394" t="s">
        <v>1970</v>
      </c>
      <c r="B555" s="793" t="s">
        <v>862</v>
      </c>
      <c r="C555" s="310" t="s">
        <v>1579</v>
      </c>
      <c r="D555" s="321"/>
      <c r="E555" s="352"/>
      <c r="F555" s="352"/>
      <c r="G555" s="352"/>
      <c r="H555" s="352">
        <v>0</v>
      </c>
    </row>
    <row r="556" spans="1:9" ht="24">
      <c r="A556" s="395" t="s">
        <v>2017</v>
      </c>
      <c r="B556" s="792">
        <v>305200200403000</v>
      </c>
      <c r="C556" s="313" t="s">
        <v>861</v>
      </c>
      <c r="D556" s="322"/>
      <c r="E556" s="328">
        <f t="shared" si="8"/>
        <v>0</v>
      </c>
      <c r="F556" s="347"/>
      <c r="G556" s="347"/>
      <c r="H556" s="328">
        <v>0</v>
      </c>
      <c r="I556" s="210"/>
    </row>
    <row r="557" spans="1:9">
      <c r="A557" s="394" t="s">
        <v>1967</v>
      </c>
      <c r="B557" s="793" t="s">
        <v>863</v>
      </c>
      <c r="C557" s="310" t="s">
        <v>1580</v>
      </c>
      <c r="D557" s="321"/>
      <c r="E557" s="352"/>
      <c r="F557" s="352"/>
      <c r="G557" s="352"/>
      <c r="H557" s="352">
        <v>0</v>
      </c>
    </row>
    <row r="558" spans="1:9">
      <c r="A558" s="394" t="s">
        <v>1969</v>
      </c>
      <c r="B558" s="793" t="s">
        <v>865</v>
      </c>
      <c r="C558" s="310" t="s">
        <v>1581</v>
      </c>
      <c r="D558" s="321"/>
      <c r="E558" s="352"/>
      <c r="F558" s="352"/>
      <c r="G558" s="352"/>
      <c r="H558" s="352">
        <v>0</v>
      </c>
    </row>
    <row r="559" spans="1:9">
      <c r="A559" s="395" t="s">
        <v>1970</v>
      </c>
      <c r="B559" s="792">
        <v>305200300100000</v>
      </c>
      <c r="C559" s="313" t="s">
        <v>864</v>
      </c>
      <c r="D559" s="322"/>
      <c r="E559" s="328">
        <f t="shared" si="8"/>
        <v>440</v>
      </c>
      <c r="F559" s="347">
        <v>440</v>
      </c>
      <c r="G559" s="347"/>
      <c r="H559" s="328">
        <v>0</v>
      </c>
      <c r="I559" s="210"/>
    </row>
    <row r="560" spans="1:9">
      <c r="A560" s="394" t="s">
        <v>1969</v>
      </c>
      <c r="B560" s="793" t="s">
        <v>867</v>
      </c>
      <c r="C560" s="310" t="s">
        <v>1582</v>
      </c>
      <c r="D560" s="321"/>
      <c r="E560" s="352"/>
      <c r="F560" s="352"/>
      <c r="G560" s="352"/>
      <c r="H560" s="352">
        <v>0</v>
      </c>
    </row>
    <row r="561" spans="1:9">
      <c r="A561" s="395" t="s">
        <v>1970</v>
      </c>
      <c r="B561" s="792">
        <v>305200300200000</v>
      </c>
      <c r="C561" s="313" t="s">
        <v>866</v>
      </c>
      <c r="D561" s="322"/>
      <c r="E561" s="328">
        <f t="shared" si="8"/>
        <v>79465.25</v>
      </c>
      <c r="F561" s="347">
        <v>79465.25</v>
      </c>
      <c r="G561" s="347"/>
      <c r="H561" s="328">
        <v>53949.09</v>
      </c>
      <c r="I561" s="210"/>
    </row>
    <row r="562" spans="1:9">
      <c r="A562" s="394" t="s">
        <v>1963</v>
      </c>
      <c r="B562" s="793" t="s">
        <v>1583</v>
      </c>
      <c r="C562" s="310" t="s">
        <v>2275</v>
      </c>
      <c r="D562" s="321"/>
      <c r="E562" s="352"/>
      <c r="F562" s="352"/>
      <c r="G562" s="352"/>
      <c r="H562" s="352">
        <v>0</v>
      </c>
    </row>
    <row r="563" spans="1:9" ht="25.5">
      <c r="A563" s="394" t="s">
        <v>1965</v>
      </c>
      <c r="B563" s="793" t="s">
        <v>869</v>
      </c>
      <c r="C563" s="310" t="s">
        <v>2276</v>
      </c>
      <c r="D563" s="321"/>
      <c r="E563" s="352"/>
      <c r="F563" s="352"/>
      <c r="G563" s="352"/>
      <c r="H563" s="352">
        <v>0</v>
      </c>
    </row>
    <row r="564" spans="1:9">
      <c r="A564" s="395" t="s">
        <v>1967</v>
      </c>
      <c r="B564" s="792">
        <v>310100000000000</v>
      </c>
      <c r="C564" s="313" t="s">
        <v>868</v>
      </c>
      <c r="D564" s="322"/>
      <c r="E564" s="328">
        <f t="shared" si="8"/>
        <v>0</v>
      </c>
      <c r="F564" s="347"/>
      <c r="G564" s="347"/>
      <c r="H564" s="328">
        <v>0</v>
      </c>
      <c r="I564" s="210"/>
    </row>
    <row r="565" spans="1:9" ht="25.5">
      <c r="A565" s="394" t="s">
        <v>1965</v>
      </c>
      <c r="B565" s="793" t="s">
        <v>870</v>
      </c>
      <c r="C565" s="310" t="s">
        <v>2277</v>
      </c>
      <c r="D565" s="321"/>
      <c r="E565" s="352"/>
      <c r="F565" s="352"/>
      <c r="G565" s="352"/>
      <c r="H565" s="352">
        <v>0</v>
      </c>
    </row>
    <row r="566" spans="1:9">
      <c r="A566" s="395">
        <v>5</v>
      </c>
      <c r="B566" s="792">
        <v>310200100000000</v>
      </c>
      <c r="C566" s="313" t="s">
        <v>871</v>
      </c>
      <c r="D566" s="322"/>
      <c r="E566" s="328">
        <f t="shared" si="8"/>
        <v>0</v>
      </c>
      <c r="F566" s="347"/>
      <c r="G566" s="347"/>
      <c r="H566" s="328">
        <v>0</v>
      </c>
      <c r="I566" s="210"/>
    </row>
    <row r="567" spans="1:9">
      <c r="A567" s="395">
        <v>5</v>
      </c>
      <c r="B567" s="792">
        <v>310200200000000</v>
      </c>
      <c r="C567" s="313" t="s">
        <v>872</v>
      </c>
      <c r="D567" s="322"/>
      <c r="E567" s="328">
        <f t="shared" si="8"/>
        <v>0</v>
      </c>
      <c r="F567" s="347"/>
      <c r="G567" s="347"/>
      <c r="H567" s="328">
        <v>0</v>
      </c>
      <c r="I567" s="210"/>
    </row>
    <row r="568" spans="1:9">
      <c r="A568" s="395">
        <v>5</v>
      </c>
      <c r="B568" s="792">
        <v>310200300000000</v>
      </c>
      <c r="C568" s="313" t="s">
        <v>873</v>
      </c>
      <c r="D568" s="322"/>
      <c r="E568" s="328">
        <f t="shared" si="8"/>
        <v>0</v>
      </c>
      <c r="F568" s="347"/>
      <c r="G568" s="347"/>
      <c r="H568" s="328">
        <v>0</v>
      </c>
      <c r="I568" s="210"/>
    </row>
    <row r="569" spans="1:9" ht="25.5">
      <c r="A569" s="394" t="s">
        <v>1965</v>
      </c>
      <c r="B569" s="793" t="s">
        <v>875</v>
      </c>
      <c r="C569" s="310" t="s">
        <v>2278</v>
      </c>
      <c r="D569" s="321"/>
      <c r="E569" s="352"/>
      <c r="F569" s="352"/>
      <c r="G569" s="352"/>
      <c r="H569" s="352">
        <v>0</v>
      </c>
    </row>
    <row r="570" spans="1:9" ht="24">
      <c r="A570" s="395" t="s">
        <v>1967</v>
      </c>
      <c r="B570" s="792">
        <v>310300000000000</v>
      </c>
      <c r="C570" s="313" t="s">
        <v>874</v>
      </c>
      <c r="D570" s="322"/>
      <c r="E570" s="328">
        <f t="shared" si="8"/>
        <v>0</v>
      </c>
      <c r="F570" s="347"/>
      <c r="G570" s="347"/>
      <c r="H570" s="328">
        <v>0</v>
      </c>
      <c r="I570" s="210"/>
    </row>
    <row r="571" spans="1:9">
      <c r="A571" s="394" t="s">
        <v>1965</v>
      </c>
      <c r="B571" s="793" t="s">
        <v>877</v>
      </c>
      <c r="C571" s="310" t="s">
        <v>2279</v>
      </c>
      <c r="D571" s="321"/>
      <c r="E571" s="352"/>
      <c r="F571" s="352"/>
      <c r="G571" s="352"/>
      <c r="H571" s="352">
        <v>0</v>
      </c>
    </row>
    <row r="572" spans="1:9">
      <c r="A572" s="395" t="s">
        <v>1967</v>
      </c>
      <c r="B572" s="792">
        <v>310400000000000</v>
      </c>
      <c r="C572" s="313" t="s">
        <v>876</v>
      </c>
      <c r="D572" s="322"/>
      <c r="E572" s="328">
        <f t="shared" si="8"/>
        <v>0</v>
      </c>
      <c r="F572" s="347"/>
      <c r="G572" s="347"/>
      <c r="H572" s="328">
        <v>0</v>
      </c>
      <c r="I572" s="210"/>
    </row>
    <row r="573" spans="1:9">
      <c r="A573" s="394" t="s">
        <v>1965</v>
      </c>
      <c r="B573" s="793" t="s">
        <v>879</v>
      </c>
      <c r="C573" s="310" t="s">
        <v>2280</v>
      </c>
      <c r="D573" s="321"/>
      <c r="E573" s="352"/>
      <c r="F573" s="352"/>
      <c r="G573" s="352"/>
      <c r="H573" s="352">
        <v>0</v>
      </c>
    </row>
    <row r="574" spans="1:9">
      <c r="A574" s="395" t="s">
        <v>1967</v>
      </c>
      <c r="B574" s="792">
        <v>310500000000000</v>
      </c>
      <c r="C574" s="313" t="s">
        <v>878</v>
      </c>
      <c r="D574" s="322"/>
      <c r="E574" s="328">
        <f t="shared" si="8"/>
        <v>6603.42</v>
      </c>
      <c r="F574" s="347">
        <v>6603.42</v>
      </c>
      <c r="G574" s="347"/>
      <c r="H574" s="328">
        <v>1064.03</v>
      </c>
      <c r="I574" s="210"/>
    </row>
    <row r="575" spans="1:9">
      <c r="A575" s="394" t="s">
        <v>1965</v>
      </c>
      <c r="B575" s="793" t="s">
        <v>881</v>
      </c>
      <c r="C575" s="310" t="s">
        <v>2281</v>
      </c>
      <c r="D575" s="321"/>
      <c r="E575" s="352"/>
      <c r="F575" s="352"/>
      <c r="G575" s="352"/>
      <c r="H575" s="352">
        <v>0</v>
      </c>
    </row>
    <row r="576" spans="1:9">
      <c r="A576" s="395" t="s">
        <v>1967</v>
      </c>
      <c r="B576" s="792">
        <v>310600100000000</v>
      </c>
      <c r="C576" s="313" t="s">
        <v>882</v>
      </c>
      <c r="D576" s="322"/>
      <c r="E576" s="328">
        <f t="shared" si="8"/>
        <v>0.01</v>
      </c>
      <c r="F576" s="347">
        <v>0.01</v>
      </c>
      <c r="G576" s="347"/>
      <c r="H576" s="328">
        <v>0</v>
      </c>
      <c r="I576" s="210"/>
    </row>
    <row r="577" spans="1:9">
      <c r="A577" s="395" t="s">
        <v>1967</v>
      </c>
      <c r="B577" s="792">
        <v>310600200000000</v>
      </c>
      <c r="C577" s="313" t="s">
        <v>883</v>
      </c>
      <c r="D577" s="322"/>
      <c r="E577" s="328">
        <f t="shared" si="8"/>
        <v>0</v>
      </c>
      <c r="F577" s="347"/>
      <c r="G577" s="347"/>
      <c r="H577" s="328">
        <v>0</v>
      </c>
      <c r="I577" s="210"/>
    </row>
    <row r="578" spans="1:9">
      <c r="A578" s="395" t="s">
        <v>1967</v>
      </c>
      <c r="B578" s="792">
        <v>310600300000000</v>
      </c>
      <c r="C578" s="313" t="s">
        <v>880</v>
      </c>
      <c r="D578" s="322"/>
      <c r="E578" s="328">
        <f t="shared" si="8"/>
        <v>0</v>
      </c>
      <c r="F578" s="347"/>
      <c r="G578" s="347"/>
      <c r="H578" s="328">
        <v>0</v>
      </c>
      <c r="I578" s="210"/>
    </row>
    <row r="579" spans="1:9" ht="25.5">
      <c r="A579" s="394" t="s">
        <v>1965</v>
      </c>
      <c r="B579" s="793" t="s">
        <v>885</v>
      </c>
      <c r="C579" s="310" t="s">
        <v>2282</v>
      </c>
      <c r="D579" s="321" t="s">
        <v>1248</v>
      </c>
      <c r="E579" s="352"/>
      <c r="F579" s="352"/>
      <c r="G579" s="352"/>
      <c r="H579" s="352">
        <v>0</v>
      </c>
    </row>
    <row r="580" spans="1:9" ht="24">
      <c r="A580" s="395" t="s">
        <v>1967</v>
      </c>
      <c r="B580" s="792">
        <v>310700000000000</v>
      </c>
      <c r="C580" s="313" t="s">
        <v>884</v>
      </c>
      <c r="D580" s="322" t="s">
        <v>1248</v>
      </c>
      <c r="E580" s="328">
        <f t="shared" si="8"/>
        <v>0</v>
      </c>
      <c r="F580" s="347"/>
      <c r="G580" s="347"/>
      <c r="H580" s="328">
        <v>0</v>
      </c>
      <c r="I580" s="210"/>
    </row>
    <row r="581" spans="1:9">
      <c r="A581" s="394" t="s">
        <v>1963</v>
      </c>
      <c r="B581" s="793" t="s">
        <v>886</v>
      </c>
      <c r="C581" s="310" t="s">
        <v>2283</v>
      </c>
      <c r="D581" s="321"/>
      <c r="E581" s="352"/>
      <c r="F581" s="352"/>
      <c r="G581" s="352"/>
      <c r="H581" s="352">
        <v>0</v>
      </c>
    </row>
    <row r="582" spans="1:9">
      <c r="A582" s="394" t="s">
        <v>1965</v>
      </c>
      <c r="B582" s="793" t="s">
        <v>887</v>
      </c>
      <c r="C582" s="310" t="s">
        <v>2284</v>
      </c>
      <c r="D582" s="321"/>
      <c r="E582" s="352"/>
      <c r="F582" s="352"/>
      <c r="G582" s="352"/>
      <c r="H582" s="352">
        <v>0</v>
      </c>
    </row>
    <row r="583" spans="1:9">
      <c r="A583" s="395">
        <v>5</v>
      </c>
      <c r="B583" s="792">
        <v>315100100000000</v>
      </c>
      <c r="C583" s="313" t="s">
        <v>888</v>
      </c>
      <c r="D583" s="322"/>
      <c r="E583" s="328">
        <f t="shared" ref="E583:E646" si="9">+F583+G583</f>
        <v>647793.34</v>
      </c>
      <c r="F583" s="347">
        <v>647793.34</v>
      </c>
      <c r="G583" s="347"/>
      <c r="H583" s="328">
        <v>605398.89</v>
      </c>
      <c r="I583" s="210"/>
    </row>
    <row r="584" spans="1:9">
      <c r="A584" s="395">
        <v>5</v>
      </c>
      <c r="B584" s="792">
        <v>315100200000000</v>
      </c>
      <c r="C584" s="313" t="s">
        <v>889</v>
      </c>
      <c r="D584" s="322"/>
      <c r="E584" s="328">
        <f t="shared" si="9"/>
        <v>0</v>
      </c>
      <c r="F584" s="347"/>
      <c r="G584" s="347"/>
      <c r="H584" s="328">
        <v>82616.009999999995</v>
      </c>
      <c r="I584" s="210"/>
    </row>
    <row r="585" spans="1:9">
      <c r="A585" s="394" t="s">
        <v>1965</v>
      </c>
      <c r="B585" s="793" t="s">
        <v>890</v>
      </c>
      <c r="C585" s="310" t="s">
        <v>2285</v>
      </c>
      <c r="D585" s="321"/>
      <c r="E585" s="352"/>
      <c r="F585" s="352"/>
      <c r="G585" s="352"/>
      <c r="H585" s="352">
        <v>0</v>
      </c>
    </row>
    <row r="586" spans="1:9">
      <c r="A586" s="394" t="s">
        <v>1967</v>
      </c>
      <c r="B586" s="793" t="s">
        <v>892</v>
      </c>
      <c r="C586" s="310" t="s">
        <v>1595</v>
      </c>
      <c r="D586" s="321"/>
      <c r="E586" s="352"/>
      <c r="F586" s="352"/>
      <c r="G586" s="352"/>
      <c r="H586" s="352">
        <v>0</v>
      </c>
    </row>
    <row r="587" spans="1:9">
      <c r="A587" s="395" t="s">
        <v>1969</v>
      </c>
      <c r="B587" s="792">
        <v>315200100000000</v>
      </c>
      <c r="C587" s="313" t="s">
        <v>891</v>
      </c>
      <c r="D587" s="322"/>
      <c r="E587" s="328">
        <f t="shared" si="9"/>
        <v>2204865.7400000002</v>
      </c>
      <c r="F587" s="347">
        <v>2204865.7400000002</v>
      </c>
      <c r="G587" s="347"/>
      <c r="H587" s="328">
        <v>2357042.52</v>
      </c>
      <c r="I587" s="210"/>
    </row>
    <row r="588" spans="1:9">
      <c r="A588" s="394" t="s">
        <v>1967</v>
      </c>
      <c r="B588" s="793" t="s">
        <v>893</v>
      </c>
      <c r="C588" s="310" t="s">
        <v>1596</v>
      </c>
      <c r="D588" s="321"/>
      <c r="E588" s="352"/>
      <c r="F588" s="352"/>
      <c r="G588" s="352"/>
      <c r="H588" s="352">
        <v>0</v>
      </c>
    </row>
    <row r="589" spans="1:9">
      <c r="A589" s="395" t="s">
        <v>1969</v>
      </c>
      <c r="B589" s="792">
        <v>315200200100000</v>
      </c>
      <c r="C589" s="313" t="s">
        <v>894</v>
      </c>
      <c r="D589" s="322"/>
      <c r="E589" s="328">
        <f t="shared" si="9"/>
        <v>52600.58</v>
      </c>
      <c r="F589" s="348">
        <v>52600.58</v>
      </c>
      <c r="G589" s="348"/>
      <c r="H589" s="328">
        <v>24680.240000000002</v>
      </c>
      <c r="I589" s="210"/>
    </row>
    <row r="590" spans="1:9">
      <c r="A590" s="395" t="s">
        <v>1969</v>
      </c>
      <c r="B590" s="792">
        <v>315200200200000</v>
      </c>
      <c r="C590" s="313" t="s">
        <v>895</v>
      </c>
      <c r="D590" s="322"/>
      <c r="E590" s="328">
        <f t="shared" si="9"/>
        <v>25785.91</v>
      </c>
      <c r="F590" s="347">
        <v>25785.91</v>
      </c>
      <c r="G590" s="347"/>
      <c r="H590" s="328">
        <v>28850.31</v>
      </c>
      <c r="I590" s="210"/>
    </row>
    <row r="591" spans="1:9">
      <c r="A591" s="395" t="s">
        <v>1969</v>
      </c>
      <c r="B591" s="792">
        <v>315200200300000</v>
      </c>
      <c r="C591" s="313" t="s">
        <v>896</v>
      </c>
      <c r="D591" s="322"/>
      <c r="E591" s="328">
        <f t="shared" si="9"/>
        <v>0</v>
      </c>
      <c r="F591" s="347"/>
      <c r="G591" s="347"/>
      <c r="H591" s="328">
        <v>0</v>
      </c>
      <c r="I591" s="210"/>
    </row>
    <row r="592" spans="1:9">
      <c r="A592" s="395" t="s">
        <v>1969</v>
      </c>
      <c r="B592" s="792">
        <v>315200200900000</v>
      </c>
      <c r="C592" s="313" t="s">
        <v>897</v>
      </c>
      <c r="D592" s="322"/>
      <c r="E592" s="328">
        <f t="shared" si="9"/>
        <v>46.97</v>
      </c>
      <c r="F592" s="347">
        <v>46.97</v>
      </c>
      <c r="G592" s="347"/>
      <c r="H592" s="328">
        <v>1490.82</v>
      </c>
      <c r="I592" s="210"/>
    </row>
    <row r="593" spans="1:9">
      <c r="A593" s="394" t="s">
        <v>1965</v>
      </c>
      <c r="B593" s="793" t="s">
        <v>898</v>
      </c>
      <c r="C593" s="310" t="s">
        <v>2286</v>
      </c>
      <c r="D593" s="321"/>
      <c r="E593" s="352"/>
      <c r="F593" s="352"/>
      <c r="G593" s="352"/>
      <c r="H593" s="352">
        <v>0</v>
      </c>
    </row>
    <row r="594" spans="1:9">
      <c r="A594" s="394" t="s">
        <v>1967</v>
      </c>
      <c r="B594" s="793" t="s">
        <v>899</v>
      </c>
      <c r="C594" s="310" t="s">
        <v>1598</v>
      </c>
      <c r="D594" s="321"/>
      <c r="E594" s="352"/>
      <c r="F594" s="352"/>
      <c r="G594" s="352"/>
      <c r="H594" s="352">
        <v>0</v>
      </c>
    </row>
    <row r="595" spans="1:9">
      <c r="A595" s="395" t="s">
        <v>1969</v>
      </c>
      <c r="B595" s="792">
        <v>315300100100000</v>
      </c>
      <c r="C595" s="313" t="s">
        <v>2287</v>
      </c>
      <c r="D595" s="322"/>
      <c r="E595" s="328">
        <f t="shared" si="9"/>
        <v>0</v>
      </c>
      <c r="F595" s="347"/>
      <c r="G595" s="347"/>
      <c r="H595" s="328">
        <v>0</v>
      </c>
      <c r="I595" s="210"/>
    </row>
    <row r="596" spans="1:9">
      <c r="A596" s="395" t="s">
        <v>1969</v>
      </c>
      <c r="B596" s="792">
        <v>315300100200000</v>
      </c>
      <c r="C596" s="313" t="s">
        <v>2288</v>
      </c>
      <c r="D596" s="322"/>
      <c r="E596" s="328">
        <f t="shared" si="9"/>
        <v>0</v>
      </c>
      <c r="F596" s="347"/>
      <c r="G596" s="347"/>
      <c r="H596" s="328">
        <v>0</v>
      </c>
      <c r="I596" s="210"/>
    </row>
    <row r="597" spans="1:9">
      <c r="A597" s="394" t="s">
        <v>1967</v>
      </c>
      <c r="B597" s="793" t="s">
        <v>900</v>
      </c>
      <c r="C597" s="310" t="s">
        <v>1599</v>
      </c>
      <c r="D597" s="321"/>
      <c r="E597" s="352"/>
      <c r="F597" s="352"/>
      <c r="G597" s="352"/>
      <c r="H597" s="352">
        <v>0</v>
      </c>
    </row>
    <row r="598" spans="1:9">
      <c r="A598" s="395" t="s">
        <v>1969</v>
      </c>
      <c r="B598" s="792">
        <v>315300200100000</v>
      </c>
      <c r="C598" s="313" t="s">
        <v>2289</v>
      </c>
      <c r="D598" s="322"/>
      <c r="E598" s="328">
        <f t="shared" si="9"/>
        <v>0</v>
      </c>
      <c r="F598" s="347"/>
      <c r="G598" s="347"/>
      <c r="H598" s="328">
        <v>0</v>
      </c>
      <c r="I598" s="210"/>
    </row>
    <row r="599" spans="1:9">
      <c r="A599" s="395" t="s">
        <v>1969</v>
      </c>
      <c r="B599" s="792">
        <v>315300200200000</v>
      </c>
      <c r="C599" s="313" t="s">
        <v>2290</v>
      </c>
      <c r="D599" s="322"/>
      <c r="E599" s="328">
        <f t="shared" si="9"/>
        <v>0</v>
      </c>
      <c r="F599" s="347"/>
      <c r="G599" s="347"/>
      <c r="H599" s="328">
        <v>0</v>
      </c>
      <c r="I599" s="210"/>
    </row>
    <row r="600" spans="1:9">
      <c r="A600" s="394" t="s">
        <v>1965</v>
      </c>
      <c r="B600" s="793" t="s">
        <v>902</v>
      </c>
      <c r="C600" s="310" t="s">
        <v>1600</v>
      </c>
      <c r="D600" s="321"/>
      <c r="E600" s="352"/>
      <c r="F600" s="352"/>
      <c r="G600" s="352"/>
      <c r="H600" s="352">
        <v>0</v>
      </c>
    </row>
    <row r="601" spans="1:9">
      <c r="A601" s="395" t="s">
        <v>1967</v>
      </c>
      <c r="B601" s="792">
        <v>315350000000000</v>
      </c>
      <c r="C601" s="313" t="s">
        <v>901</v>
      </c>
      <c r="D601" s="322"/>
      <c r="E601" s="328">
        <f t="shared" si="9"/>
        <v>0</v>
      </c>
      <c r="F601" s="347"/>
      <c r="G601" s="347"/>
      <c r="H601" s="328">
        <v>0</v>
      </c>
      <c r="I601" s="210"/>
    </row>
    <row r="602" spans="1:9" ht="25.5">
      <c r="A602" s="394" t="s">
        <v>1965</v>
      </c>
      <c r="B602" s="793" t="s">
        <v>904</v>
      </c>
      <c r="C602" s="310" t="s">
        <v>1601</v>
      </c>
      <c r="D602" s="321" t="s">
        <v>1248</v>
      </c>
      <c r="E602" s="352"/>
      <c r="F602" s="352"/>
      <c r="G602" s="352"/>
      <c r="H602" s="352">
        <v>0</v>
      </c>
    </row>
    <row r="603" spans="1:9" ht="24">
      <c r="A603" s="395" t="s">
        <v>1967</v>
      </c>
      <c r="B603" s="792">
        <v>315400000000000</v>
      </c>
      <c r="C603" s="313" t="s">
        <v>903</v>
      </c>
      <c r="D603" s="322" t="s">
        <v>1248</v>
      </c>
      <c r="E603" s="328">
        <f t="shared" si="9"/>
        <v>0</v>
      </c>
      <c r="F603" s="347"/>
      <c r="G603" s="347"/>
      <c r="H603" s="328">
        <v>0</v>
      </c>
      <c r="I603" s="210"/>
    </row>
    <row r="604" spans="1:9">
      <c r="A604" s="394" t="s">
        <v>1963</v>
      </c>
      <c r="B604" s="793" t="s">
        <v>1602</v>
      </c>
      <c r="C604" s="310" t="s">
        <v>1603</v>
      </c>
      <c r="D604" s="321"/>
      <c r="E604" s="352"/>
      <c r="F604" s="352"/>
      <c r="G604" s="352"/>
      <c r="H604" s="352"/>
    </row>
    <row r="605" spans="1:9">
      <c r="A605" s="394">
        <v>4</v>
      </c>
      <c r="B605" s="793" t="s">
        <v>905</v>
      </c>
      <c r="C605" s="310" t="s">
        <v>2291</v>
      </c>
      <c r="D605" s="321"/>
      <c r="E605" s="352"/>
      <c r="F605" s="352"/>
      <c r="G605" s="352"/>
      <c r="H605" s="352">
        <v>0</v>
      </c>
    </row>
    <row r="606" spans="1:9">
      <c r="A606" s="394">
        <v>5</v>
      </c>
      <c r="B606" s="793" t="s">
        <v>906</v>
      </c>
      <c r="C606" s="310" t="s">
        <v>1605</v>
      </c>
      <c r="D606" s="321"/>
      <c r="E606" s="352"/>
      <c r="F606" s="352"/>
      <c r="G606" s="352"/>
      <c r="H606" s="352">
        <v>0</v>
      </c>
    </row>
    <row r="607" spans="1:9">
      <c r="A607" s="394">
        <v>6</v>
      </c>
      <c r="B607" s="793" t="s">
        <v>907</v>
      </c>
      <c r="C607" s="310" t="s">
        <v>1606</v>
      </c>
      <c r="D607" s="321"/>
      <c r="E607" s="352"/>
      <c r="F607" s="352"/>
      <c r="G607" s="352"/>
      <c r="H607" s="352">
        <v>0</v>
      </c>
    </row>
    <row r="608" spans="1:9" ht="25.5">
      <c r="A608" s="394">
        <v>7</v>
      </c>
      <c r="B608" s="793" t="s">
        <v>908</v>
      </c>
      <c r="C608" s="310" t="s">
        <v>1607</v>
      </c>
      <c r="D608" s="321"/>
      <c r="E608" s="352"/>
      <c r="F608" s="352"/>
      <c r="G608" s="352"/>
      <c r="H608" s="352">
        <v>0</v>
      </c>
    </row>
    <row r="609" spans="1:9" ht="24">
      <c r="A609" s="395">
        <v>8</v>
      </c>
      <c r="B609" s="792">
        <v>320100100101000</v>
      </c>
      <c r="C609" s="313" t="s">
        <v>2292</v>
      </c>
      <c r="D609" s="322"/>
      <c r="E609" s="328">
        <f t="shared" si="9"/>
        <v>293065.90999999997</v>
      </c>
      <c r="F609" s="347">
        <v>293065.90999999997</v>
      </c>
      <c r="G609" s="347"/>
      <c r="H609" s="328">
        <v>127063.16</v>
      </c>
      <c r="I609" s="210"/>
    </row>
    <row r="610" spans="1:9" ht="24">
      <c r="A610" s="395">
        <v>8</v>
      </c>
      <c r="B610" s="792">
        <v>320100100102000</v>
      </c>
      <c r="C610" s="313" t="s">
        <v>2293</v>
      </c>
      <c r="D610" s="322"/>
      <c r="E610" s="328">
        <f t="shared" si="9"/>
        <v>109544.85</v>
      </c>
      <c r="F610" s="347">
        <v>109544.85</v>
      </c>
      <c r="G610" s="347"/>
      <c r="H610" s="328">
        <v>51207.27</v>
      </c>
      <c r="I610" s="210"/>
    </row>
    <row r="611" spans="1:9" ht="24">
      <c r="A611" s="395">
        <v>8</v>
      </c>
      <c r="B611" s="792">
        <v>320100100103000</v>
      </c>
      <c r="C611" s="313" t="s">
        <v>2294</v>
      </c>
      <c r="D611" s="322"/>
      <c r="E611" s="328">
        <f t="shared" si="9"/>
        <v>124544.17</v>
      </c>
      <c r="F611" s="347">
        <v>124544.17</v>
      </c>
      <c r="G611" s="347"/>
      <c r="H611" s="328">
        <v>26525.62</v>
      </c>
      <c r="I611" s="210"/>
    </row>
    <row r="612" spans="1:9" ht="24">
      <c r="A612" s="395">
        <v>8</v>
      </c>
      <c r="B612" s="792">
        <v>320100100104000</v>
      </c>
      <c r="C612" s="313" t="s">
        <v>2295</v>
      </c>
      <c r="D612" s="322"/>
      <c r="E612" s="328">
        <f t="shared" si="9"/>
        <v>0</v>
      </c>
      <c r="F612" s="347"/>
      <c r="G612" s="347"/>
      <c r="H612" s="328">
        <v>0</v>
      </c>
      <c r="I612" s="210"/>
    </row>
    <row r="613" spans="1:9" ht="24">
      <c r="A613" s="395">
        <v>8</v>
      </c>
      <c r="B613" s="792">
        <v>320100100105000</v>
      </c>
      <c r="C613" s="313" t="s">
        <v>2296</v>
      </c>
      <c r="D613" s="322"/>
      <c r="E613" s="328">
        <f t="shared" si="9"/>
        <v>0</v>
      </c>
      <c r="F613" s="347"/>
      <c r="G613" s="347"/>
      <c r="H613" s="328">
        <v>0</v>
      </c>
      <c r="I613" s="210"/>
    </row>
    <row r="614" spans="1:9" ht="24">
      <c r="A614" s="395">
        <v>8</v>
      </c>
      <c r="B614" s="792">
        <v>320100100106000</v>
      </c>
      <c r="C614" s="313" t="s">
        <v>2297</v>
      </c>
      <c r="D614" s="322"/>
      <c r="E614" s="328">
        <f t="shared" si="9"/>
        <v>0</v>
      </c>
      <c r="F614" s="347"/>
      <c r="G614" s="347"/>
      <c r="H614" s="328">
        <v>0</v>
      </c>
      <c r="I614" s="210"/>
    </row>
    <row r="615" spans="1:9" ht="24">
      <c r="A615" s="395">
        <v>8</v>
      </c>
      <c r="B615" s="792">
        <v>320100100107000</v>
      </c>
      <c r="C615" s="313" t="s">
        <v>2298</v>
      </c>
      <c r="D615" s="322"/>
      <c r="E615" s="328">
        <f t="shared" si="9"/>
        <v>0</v>
      </c>
      <c r="F615" s="347"/>
      <c r="G615" s="347"/>
      <c r="H615" s="328">
        <v>0</v>
      </c>
      <c r="I615" s="210"/>
    </row>
    <row r="616" spans="1:9" ht="24">
      <c r="A616" s="395">
        <v>8</v>
      </c>
      <c r="B616" s="792">
        <v>320100100109000</v>
      </c>
      <c r="C616" s="313" t="s">
        <v>2299</v>
      </c>
      <c r="D616" s="322"/>
      <c r="E616" s="328">
        <f t="shared" si="9"/>
        <v>139405.85999999999</v>
      </c>
      <c r="F616" s="347">
        <v>139405.85999999999</v>
      </c>
      <c r="G616" s="347"/>
      <c r="H616" s="328">
        <v>59379.41</v>
      </c>
      <c r="I616" s="210"/>
    </row>
    <row r="617" spans="1:9" ht="25.5">
      <c r="A617" s="394">
        <v>7</v>
      </c>
      <c r="B617" s="793" t="s">
        <v>909</v>
      </c>
      <c r="C617" s="310" t="s">
        <v>2300</v>
      </c>
      <c r="D617" s="321"/>
      <c r="E617" s="352"/>
      <c r="F617" s="352"/>
      <c r="G617" s="352"/>
      <c r="H617" s="352">
        <v>0</v>
      </c>
    </row>
    <row r="618" spans="1:9" ht="24">
      <c r="A618" s="395">
        <v>8</v>
      </c>
      <c r="B618" s="792">
        <v>320100100201000</v>
      </c>
      <c r="C618" s="313" t="s">
        <v>2301</v>
      </c>
      <c r="D618" s="322"/>
      <c r="E618" s="328">
        <f t="shared" si="9"/>
        <v>15020.49</v>
      </c>
      <c r="F618" s="347">
        <v>15020.49</v>
      </c>
      <c r="G618" s="347"/>
      <c r="H618" s="328">
        <v>0</v>
      </c>
      <c r="I618" s="210"/>
    </row>
    <row r="619" spans="1:9" ht="24">
      <c r="A619" s="395">
        <v>8</v>
      </c>
      <c r="B619" s="792">
        <v>320100100202000</v>
      </c>
      <c r="C619" s="313" t="s">
        <v>2302</v>
      </c>
      <c r="D619" s="322"/>
      <c r="E619" s="328">
        <f t="shared" si="9"/>
        <v>4987.71</v>
      </c>
      <c r="F619" s="347">
        <v>4987.71</v>
      </c>
      <c r="G619" s="347"/>
      <c r="H619" s="328">
        <v>0</v>
      </c>
      <c r="I619" s="210"/>
    </row>
    <row r="620" spans="1:9" ht="24">
      <c r="A620" s="395">
        <v>8</v>
      </c>
      <c r="B620" s="792">
        <v>320100100203000</v>
      </c>
      <c r="C620" s="313" t="s">
        <v>2303</v>
      </c>
      <c r="D620" s="322"/>
      <c r="E620" s="328">
        <f t="shared" si="9"/>
        <v>3735</v>
      </c>
      <c r="F620" s="347">
        <v>3735</v>
      </c>
      <c r="G620" s="347"/>
      <c r="H620" s="328">
        <v>0</v>
      </c>
      <c r="I620" s="210"/>
    </row>
    <row r="621" spans="1:9" ht="24">
      <c r="A621" s="395">
        <v>8</v>
      </c>
      <c r="B621" s="792">
        <v>320100100204000</v>
      </c>
      <c r="C621" s="313" t="s">
        <v>2304</v>
      </c>
      <c r="D621" s="322"/>
      <c r="E621" s="328">
        <f t="shared" si="9"/>
        <v>0</v>
      </c>
      <c r="F621" s="347"/>
      <c r="G621" s="347"/>
      <c r="H621" s="328">
        <v>0</v>
      </c>
      <c r="I621" s="210"/>
    </row>
    <row r="622" spans="1:9" ht="24">
      <c r="A622" s="395">
        <v>8</v>
      </c>
      <c r="B622" s="792">
        <v>320100100205000</v>
      </c>
      <c r="C622" s="313" t="s">
        <v>2305</v>
      </c>
      <c r="D622" s="322"/>
      <c r="E622" s="328">
        <f t="shared" si="9"/>
        <v>0</v>
      </c>
      <c r="F622" s="347"/>
      <c r="G622" s="347"/>
      <c r="H622" s="328">
        <v>0</v>
      </c>
      <c r="I622" s="210"/>
    </row>
    <row r="623" spans="1:9" ht="24">
      <c r="A623" s="395">
        <v>8</v>
      </c>
      <c r="B623" s="792">
        <v>320100100206000</v>
      </c>
      <c r="C623" s="313" t="s">
        <v>2306</v>
      </c>
      <c r="D623" s="322"/>
      <c r="E623" s="328">
        <f t="shared" si="9"/>
        <v>0</v>
      </c>
      <c r="F623" s="347"/>
      <c r="G623" s="347"/>
      <c r="H623" s="328">
        <v>0</v>
      </c>
      <c r="I623" s="210"/>
    </row>
    <row r="624" spans="1:9">
      <c r="A624" s="395">
        <v>8</v>
      </c>
      <c r="B624" s="792">
        <v>320100100207000</v>
      </c>
      <c r="C624" s="313" t="s">
        <v>2307</v>
      </c>
      <c r="D624" s="322"/>
      <c r="E624" s="328">
        <f t="shared" si="9"/>
        <v>0</v>
      </c>
      <c r="F624" s="347"/>
      <c r="G624" s="347"/>
      <c r="H624" s="328">
        <v>0</v>
      </c>
      <c r="I624" s="210"/>
    </row>
    <row r="625" spans="1:9" ht="24">
      <c r="A625" s="395">
        <v>8</v>
      </c>
      <c r="B625" s="792">
        <v>320100100209000</v>
      </c>
      <c r="C625" s="313" t="s">
        <v>2308</v>
      </c>
      <c r="D625" s="322"/>
      <c r="E625" s="328">
        <f t="shared" si="9"/>
        <v>7043.83</v>
      </c>
      <c r="F625" s="347">
        <v>7043.83</v>
      </c>
      <c r="G625" s="347"/>
      <c r="H625" s="328">
        <v>0</v>
      </c>
      <c r="I625" s="210"/>
    </row>
    <row r="626" spans="1:9">
      <c r="A626" s="394">
        <v>7</v>
      </c>
      <c r="B626" s="793" t="s">
        <v>911</v>
      </c>
      <c r="C626" s="310" t="s">
        <v>1609</v>
      </c>
      <c r="D626" s="321"/>
      <c r="E626" s="352"/>
      <c r="F626" s="352"/>
      <c r="G626" s="352"/>
      <c r="H626" s="352">
        <v>0</v>
      </c>
    </row>
    <row r="627" spans="1:9">
      <c r="A627" s="395">
        <v>8</v>
      </c>
      <c r="B627" s="792">
        <v>320100100300000</v>
      </c>
      <c r="C627" s="313" t="s">
        <v>910</v>
      </c>
      <c r="D627" s="322"/>
      <c r="E627" s="328">
        <f t="shared" si="9"/>
        <v>0</v>
      </c>
      <c r="F627" s="347"/>
      <c r="G627" s="347"/>
      <c r="H627" s="328">
        <v>0</v>
      </c>
      <c r="I627" s="210"/>
    </row>
    <row r="628" spans="1:9">
      <c r="A628" s="394">
        <v>6</v>
      </c>
      <c r="B628" s="793" t="s">
        <v>912</v>
      </c>
      <c r="C628" s="310" t="s">
        <v>1610</v>
      </c>
      <c r="D628" s="321"/>
      <c r="E628" s="352"/>
      <c r="F628" s="352"/>
      <c r="G628" s="352"/>
      <c r="H628" s="352">
        <v>0</v>
      </c>
    </row>
    <row r="629" spans="1:9" ht="25.5">
      <c r="A629" s="394">
        <v>7</v>
      </c>
      <c r="B629" s="793" t="s">
        <v>913</v>
      </c>
      <c r="C629" s="310" t="s">
        <v>2309</v>
      </c>
      <c r="D629" s="321"/>
      <c r="E629" s="352"/>
      <c r="F629" s="352"/>
      <c r="G629" s="352"/>
      <c r="H629" s="352">
        <v>0</v>
      </c>
    </row>
    <row r="630" spans="1:9" ht="24">
      <c r="A630" s="395">
        <v>8</v>
      </c>
      <c r="B630" s="792">
        <v>320100200101000</v>
      </c>
      <c r="C630" s="313" t="s">
        <v>2310</v>
      </c>
      <c r="D630" s="322"/>
      <c r="E630" s="328">
        <f t="shared" si="9"/>
        <v>431300.85</v>
      </c>
      <c r="F630" s="347">
        <v>431300.85</v>
      </c>
      <c r="G630" s="347"/>
      <c r="H630" s="328">
        <v>430476.73</v>
      </c>
      <c r="I630" s="210"/>
    </row>
    <row r="631" spans="1:9" ht="24">
      <c r="A631" s="395">
        <v>8</v>
      </c>
      <c r="B631" s="792">
        <v>320100200102000</v>
      </c>
      <c r="C631" s="313" t="s">
        <v>2311</v>
      </c>
      <c r="D631" s="322"/>
      <c r="E631" s="328">
        <f t="shared" si="9"/>
        <v>67531.960000000006</v>
      </c>
      <c r="F631" s="347">
        <v>67531.960000000006</v>
      </c>
      <c r="G631" s="347"/>
      <c r="H631" s="328">
        <v>97007.05</v>
      </c>
      <c r="I631" s="210"/>
    </row>
    <row r="632" spans="1:9" ht="24">
      <c r="A632" s="395">
        <v>8</v>
      </c>
      <c r="B632" s="792">
        <v>320100200103000</v>
      </c>
      <c r="C632" s="313" t="s">
        <v>2312</v>
      </c>
      <c r="D632" s="322"/>
      <c r="E632" s="328">
        <f t="shared" si="9"/>
        <v>117069.17</v>
      </c>
      <c r="F632" s="347">
        <v>117069.17</v>
      </c>
      <c r="G632" s="347"/>
      <c r="H632" s="328">
        <v>33748.800000000003</v>
      </c>
      <c r="I632" s="210"/>
    </row>
    <row r="633" spans="1:9" ht="24">
      <c r="A633" s="395">
        <v>8</v>
      </c>
      <c r="B633" s="792">
        <v>320100200104000</v>
      </c>
      <c r="C633" s="313" t="s">
        <v>2313</v>
      </c>
      <c r="D633" s="322"/>
      <c r="E633" s="328">
        <f t="shared" si="9"/>
        <v>0</v>
      </c>
      <c r="F633" s="347"/>
      <c r="G633" s="347"/>
      <c r="H633" s="328">
        <v>0</v>
      </c>
      <c r="I633" s="210"/>
    </row>
    <row r="634" spans="1:9" ht="24">
      <c r="A634" s="395">
        <v>8</v>
      </c>
      <c r="B634" s="792">
        <v>320100200105000</v>
      </c>
      <c r="C634" s="313" t="s">
        <v>2314</v>
      </c>
      <c r="D634" s="322"/>
      <c r="E634" s="328">
        <f t="shared" si="9"/>
        <v>0</v>
      </c>
      <c r="F634" s="347"/>
      <c r="G634" s="347"/>
      <c r="H634" s="328">
        <v>0</v>
      </c>
      <c r="I634" s="210"/>
    </row>
    <row r="635" spans="1:9" ht="24">
      <c r="A635" s="395">
        <v>8</v>
      </c>
      <c r="B635" s="792">
        <v>320100200106000</v>
      </c>
      <c r="C635" s="313" t="s">
        <v>2315</v>
      </c>
      <c r="D635" s="322"/>
      <c r="E635" s="328">
        <f t="shared" si="9"/>
        <v>0</v>
      </c>
      <c r="F635" s="347"/>
      <c r="G635" s="347"/>
      <c r="H635" s="328">
        <v>0</v>
      </c>
      <c r="I635" s="210"/>
    </row>
    <row r="636" spans="1:9" ht="24">
      <c r="A636" s="395">
        <v>8</v>
      </c>
      <c r="B636" s="792">
        <v>320100200107000</v>
      </c>
      <c r="C636" s="313" t="s">
        <v>2316</v>
      </c>
      <c r="D636" s="322"/>
      <c r="E636" s="328">
        <f t="shared" si="9"/>
        <v>178.56</v>
      </c>
      <c r="F636" s="347">
        <v>178.56</v>
      </c>
      <c r="G636" s="347"/>
      <c r="H636" s="328">
        <v>302.56</v>
      </c>
      <c r="I636" s="210"/>
    </row>
    <row r="637" spans="1:9" ht="24">
      <c r="A637" s="395">
        <v>8</v>
      </c>
      <c r="B637" s="792">
        <v>320100200109000</v>
      </c>
      <c r="C637" s="313" t="s">
        <v>2317</v>
      </c>
      <c r="D637" s="322"/>
      <c r="E637" s="328">
        <f t="shared" si="9"/>
        <v>168517.51</v>
      </c>
      <c r="F637" s="347">
        <v>168517.51</v>
      </c>
      <c r="G637" s="347"/>
      <c r="H637" s="328">
        <v>157493.17000000001</v>
      </c>
      <c r="I637" s="210"/>
    </row>
    <row r="638" spans="1:9" ht="25.5">
      <c r="A638" s="394">
        <v>7</v>
      </c>
      <c r="B638" s="793" t="s">
        <v>914</v>
      </c>
      <c r="C638" s="310" t="s">
        <v>2318</v>
      </c>
      <c r="D638" s="321"/>
      <c r="E638" s="352"/>
      <c r="F638" s="352"/>
      <c r="G638" s="352"/>
      <c r="H638" s="352">
        <v>0</v>
      </c>
    </row>
    <row r="639" spans="1:9" ht="24">
      <c r="A639" s="395">
        <v>8</v>
      </c>
      <c r="B639" s="792">
        <v>320100200201000</v>
      </c>
      <c r="C639" s="313" t="s">
        <v>2319</v>
      </c>
      <c r="D639" s="322"/>
      <c r="E639" s="328">
        <f t="shared" si="9"/>
        <v>47723.39</v>
      </c>
      <c r="F639" s="347">
        <v>47723.39</v>
      </c>
      <c r="G639" s="347"/>
      <c r="H639" s="328">
        <v>68569.66</v>
      </c>
      <c r="I639" s="210"/>
    </row>
    <row r="640" spans="1:9" ht="24">
      <c r="A640" s="395">
        <v>8</v>
      </c>
      <c r="B640" s="792">
        <v>320100200202000</v>
      </c>
      <c r="C640" s="313" t="s">
        <v>2320</v>
      </c>
      <c r="D640" s="322"/>
      <c r="E640" s="328">
        <f t="shared" si="9"/>
        <v>3001.31</v>
      </c>
      <c r="F640" s="347">
        <v>3001.31</v>
      </c>
      <c r="G640" s="347"/>
      <c r="H640" s="328">
        <v>4415.3500000000004</v>
      </c>
      <c r="I640" s="210"/>
    </row>
    <row r="641" spans="1:9" ht="24">
      <c r="A641" s="395">
        <v>8</v>
      </c>
      <c r="B641" s="792">
        <v>320100200203000</v>
      </c>
      <c r="C641" s="313" t="s">
        <v>2321</v>
      </c>
      <c r="D641" s="322"/>
      <c r="E641" s="328">
        <f t="shared" si="9"/>
        <v>3735</v>
      </c>
      <c r="F641" s="347">
        <v>3735</v>
      </c>
      <c r="G641" s="347"/>
      <c r="H641" s="328">
        <v>4422.22</v>
      </c>
      <c r="I641" s="210"/>
    </row>
    <row r="642" spans="1:9" ht="24">
      <c r="A642" s="395">
        <v>8</v>
      </c>
      <c r="B642" s="792">
        <v>320100200204000</v>
      </c>
      <c r="C642" s="313" t="s">
        <v>2322</v>
      </c>
      <c r="D642" s="322"/>
      <c r="E642" s="328">
        <f t="shared" si="9"/>
        <v>0</v>
      </c>
      <c r="F642" s="347"/>
      <c r="G642" s="347"/>
      <c r="H642" s="328">
        <v>0</v>
      </c>
      <c r="I642" s="210"/>
    </row>
    <row r="643" spans="1:9" ht="24">
      <c r="A643" s="395">
        <v>8</v>
      </c>
      <c r="B643" s="792">
        <v>320100200205000</v>
      </c>
      <c r="C643" s="313" t="s">
        <v>2323</v>
      </c>
      <c r="D643" s="322"/>
      <c r="E643" s="328">
        <f t="shared" si="9"/>
        <v>0</v>
      </c>
      <c r="F643" s="347"/>
      <c r="G643" s="347"/>
      <c r="H643" s="328">
        <v>0</v>
      </c>
      <c r="I643" s="210"/>
    </row>
    <row r="644" spans="1:9" ht="24">
      <c r="A644" s="395">
        <v>8</v>
      </c>
      <c r="B644" s="792">
        <v>320100200206000</v>
      </c>
      <c r="C644" s="313" t="s">
        <v>2324</v>
      </c>
      <c r="D644" s="322"/>
      <c r="E644" s="328">
        <f t="shared" si="9"/>
        <v>0</v>
      </c>
      <c r="F644" s="347"/>
      <c r="G644" s="347"/>
      <c r="H644" s="328">
        <v>0</v>
      </c>
      <c r="I644" s="210"/>
    </row>
    <row r="645" spans="1:9" ht="24">
      <c r="A645" s="395">
        <v>8</v>
      </c>
      <c r="B645" s="792">
        <v>320100200207000</v>
      </c>
      <c r="C645" s="313" t="s">
        <v>2325</v>
      </c>
      <c r="D645" s="322"/>
      <c r="E645" s="328">
        <f t="shared" si="9"/>
        <v>0</v>
      </c>
      <c r="F645" s="347"/>
      <c r="G645" s="347"/>
      <c r="H645" s="328">
        <v>0</v>
      </c>
      <c r="I645" s="210"/>
    </row>
    <row r="646" spans="1:9" ht="24">
      <c r="A646" s="395">
        <v>8</v>
      </c>
      <c r="B646" s="792">
        <v>320100200209000</v>
      </c>
      <c r="C646" s="313" t="s">
        <v>2326</v>
      </c>
      <c r="D646" s="322"/>
      <c r="E646" s="328">
        <f t="shared" si="9"/>
        <v>17177.060000000001</v>
      </c>
      <c r="F646" s="347">
        <v>17177.060000000001</v>
      </c>
      <c r="G646" s="347"/>
      <c r="H646" s="328">
        <v>23998.29</v>
      </c>
      <c r="I646" s="210"/>
    </row>
    <row r="647" spans="1:9">
      <c r="A647" s="394">
        <v>7</v>
      </c>
      <c r="B647" s="793" t="s">
        <v>915</v>
      </c>
      <c r="C647" s="310" t="s">
        <v>1613</v>
      </c>
      <c r="D647" s="321"/>
      <c r="E647" s="352"/>
      <c r="F647" s="352"/>
      <c r="G647" s="352"/>
      <c r="H647" s="352">
        <v>0</v>
      </c>
    </row>
    <row r="648" spans="1:9">
      <c r="A648" s="395">
        <v>8</v>
      </c>
      <c r="B648" s="792">
        <v>320100200300000</v>
      </c>
      <c r="C648" s="313" t="s">
        <v>2327</v>
      </c>
      <c r="D648" s="322"/>
      <c r="E648" s="328">
        <f t="shared" ref="E648:E737" si="10">+F648+G648</f>
        <v>0</v>
      </c>
      <c r="F648" s="347"/>
      <c r="G648" s="347"/>
      <c r="H648" s="328">
        <v>0</v>
      </c>
      <c r="I648" s="210"/>
    </row>
    <row r="649" spans="1:9">
      <c r="A649" s="394">
        <v>5</v>
      </c>
      <c r="B649" s="793" t="s">
        <v>916</v>
      </c>
      <c r="C649" s="310" t="s">
        <v>1614</v>
      </c>
      <c r="D649" s="321"/>
      <c r="E649" s="352"/>
      <c r="F649" s="352"/>
      <c r="G649" s="352"/>
      <c r="H649" s="352">
        <v>0</v>
      </c>
    </row>
    <row r="650" spans="1:9" ht="25.5">
      <c r="A650" s="394">
        <v>6</v>
      </c>
      <c r="B650" s="793" t="s">
        <v>917</v>
      </c>
      <c r="C650" s="310" t="s">
        <v>2328</v>
      </c>
      <c r="D650" s="321"/>
      <c r="E650" s="352"/>
      <c r="F650" s="352"/>
      <c r="G650" s="352"/>
      <c r="H650" s="352">
        <v>0</v>
      </c>
    </row>
    <row r="651" spans="1:9" ht="24">
      <c r="A651" s="396">
        <v>7</v>
      </c>
      <c r="B651" s="797">
        <v>3202001000000</v>
      </c>
      <c r="C651" s="316" t="s">
        <v>2602</v>
      </c>
      <c r="D651" s="323"/>
      <c r="E651" s="349"/>
      <c r="F651" s="349"/>
      <c r="G651" s="349"/>
      <c r="H651" s="349"/>
      <c r="I651" s="210"/>
    </row>
    <row r="652" spans="1:9" ht="24">
      <c r="A652" s="395">
        <v>8</v>
      </c>
      <c r="B652" s="792">
        <v>320200100100000</v>
      </c>
      <c r="C652" s="313" t="s">
        <v>2329</v>
      </c>
      <c r="D652" s="322"/>
      <c r="E652" s="328">
        <f t="shared" si="10"/>
        <v>1277007.6000000001</v>
      </c>
      <c r="F652" s="347">
        <v>1277007.6000000001</v>
      </c>
      <c r="G652" s="347"/>
      <c r="H652" s="328">
        <v>1171650.1100000001</v>
      </c>
      <c r="I652" s="210"/>
    </row>
    <row r="653" spans="1:9" ht="24">
      <c r="A653" s="396">
        <v>8</v>
      </c>
      <c r="B653" s="795">
        <v>3202001002000</v>
      </c>
      <c r="C653" s="316" t="s">
        <v>2330</v>
      </c>
      <c r="D653" s="323"/>
      <c r="E653" s="349"/>
      <c r="F653" s="349"/>
      <c r="G653" s="349"/>
      <c r="H653" s="349">
        <v>0</v>
      </c>
      <c r="I653" s="210"/>
    </row>
    <row r="654" spans="1:9" ht="24">
      <c r="A654" s="395">
        <v>9</v>
      </c>
      <c r="B654" s="792">
        <v>320200100201000</v>
      </c>
      <c r="C654" s="313" t="s">
        <v>2331</v>
      </c>
      <c r="D654" s="322"/>
      <c r="E654" s="328">
        <f t="shared" si="10"/>
        <v>16704.95</v>
      </c>
      <c r="F654" s="347">
        <v>16704.95</v>
      </c>
      <c r="G654" s="347"/>
      <c r="H654" s="328">
        <v>30952</v>
      </c>
      <c r="I654" s="210"/>
    </row>
    <row r="655" spans="1:9" ht="24">
      <c r="A655" s="395">
        <v>9</v>
      </c>
      <c r="B655" s="792">
        <v>320200100202000</v>
      </c>
      <c r="C655" s="313" t="s">
        <v>2332</v>
      </c>
      <c r="D655" s="322"/>
      <c r="E655" s="328">
        <f t="shared" si="10"/>
        <v>189752.65</v>
      </c>
      <c r="F655" s="347">
        <v>189752.65</v>
      </c>
      <c r="G655" s="347"/>
      <c r="H655" s="328">
        <v>141314.09</v>
      </c>
      <c r="I655" s="210"/>
    </row>
    <row r="656" spans="1:9" ht="24">
      <c r="A656" s="395">
        <v>9</v>
      </c>
      <c r="B656" s="792">
        <v>320200100203000</v>
      </c>
      <c r="C656" s="313" t="s">
        <v>2333</v>
      </c>
      <c r="D656" s="322"/>
      <c r="E656" s="328">
        <f t="shared" si="10"/>
        <v>221227</v>
      </c>
      <c r="F656" s="347">
        <v>221227</v>
      </c>
      <c r="G656" s="347"/>
      <c r="H656" s="328">
        <v>162687.14000000001</v>
      </c>
      <c r="I656" s="210"/>
    </row>
    <row r="657" spans="1:9" ht="24">
      <c r="A657" s="396">
        <v>8</v>
      </c>
      <c r="B657" s="795">
        <v>3202001003000</v>
      </c>
      <c r="C657" s="316" t="s">
        <v>2334</v>
      </c>
      <c r="D657" s="323"/>
      <c r="E657" s="349"/>
      <c r="F657" s="349"/>
      <c r="G657" s="349"/>
      <c r="H657" s="349">
        <v>0</v>
      </c>
      <c r="I657" s="210"/>
    </row>
    <row r="658" spans="1:9" ht="24">
      <c r="A658" s="395">
        <v>9</v>
      </c>
      <c r="B658" s="792">
        <v>320200100301000</v>
      </c>
      <c r="C658" s="313" t="s">
        <v>2335</v>
      </c>
      <c r="D658" s="322"/>
      <c r="E658" s="328">
        <f t="shared" si="10"/>
        <v>78977.14</v>
      </c>
      <c r="F658" s="347">
        <v>78977.14</v>
      </c>
      <c r="G658" s="347"/>
      <c r="H658" s="328">
        <v>46101.56</v>
      </c>
      <c r="I658" s="210"/>
    </row>
    <row r="659" spans="1:9" ht="24">
      <c r="A659" s="395">
        <v>9</v>
      </c>
      <c r="B659" s="792">
        <v>320200100302000</v>
      </c>
      <c r="C659" s="313" t="s">
        <v>2336</v>
      </c>
      <c r="D659" s="322"/>
      <c r="E659" s="328">
        <f t="shared" si="10"/>
        <v>94116.81</v>
      </c>
      <c r="F659" s="347">
        <v>94116.81</v>
      </c>
      <c r="G659" s="347"/>
      <c r="H659" s="328">
        <v>65304.83</v>
      </c>
      <c r="I659" s="210"/>
    </row>
    <row r="660" spans="1:9" ht="24">
      <c r="A660" s="395">
        <v>9</v>
      </c>
      <c r="B660" s="792">
        <v>320200100303000</v>
      </c>
      <c r="C660" s="313" t="s">
        <v>2337</v>
      </c>
      <c r="D660" s="322"/>
      <c r="E660" s="328">
        <f t="shared" si="10"/>
        <v>18881.16</v>
      </c>
      <c r="F660" s="347">
        <v>18881.16</v>
      </c>
      <c r="G660" s="347"/>
      <c r="H660" s="328">
        <v>64525.31</v>
      </c>
      <c r="I660" s="210"/>
    </row>
    <row r="661" spans="1:9" ht="24">
      <c r="A661" s="395">
        <v>9</v>
      </c>
      <c r="B661" s="792">
        <v>320200100400000</v>
      </c>
      <c r="C661" s="313" t="s">
        <v>2338</v>
      </c>
      <c r="D661" s="322"/>
      <c r="E661" s="328">
        <f t="shared" si="10"/>
        <v>0</v>
      </c>
      <c r="F661" s="347"/>
      <c r="G661" s="347"/>
      <c r="H661" s="328">
        <v>0</v>
      </c>
      <c r="I661" s="210"/>
    </row>
    <row r="662" spans="1:9" ht="24">
      <c r="A662" s="395">
        <v>9</v>
      </c>
      <c r="B662" s="792">
        <v>320200100500000</v>
      </c>
      <c r="C662" s="313" t="s">
        <v>2339</v>
      </c>
      <c r="D662" s="322"/>
      <c r="E662" s="328">
        <f t="shared" si="10"/>
        <v>0</v>
      </c>
      <c r="F662" s="347"/>
      <c r="G662" s="347"/>
      <c r="H662" s="328">
        <v>0</v>
      </c>
      <c r="I662" s="210"/>
    </row>
    <row r="663" spans="1:9" ht="24">
      <c r="A663" s="395">
        <v>9</v>
      </c>
      <c r="B663" s="792">
        <v>320200100600000</v>
      </c>
      <c r="C663" s="313" t="s">
        <v>2340</v>
      </c>
      <c r="D663" s="322"/>
      <c r="E663" s="328">
        <f t="shared" si="10"/>
        <v>50.21</v>
      </c>
      <c r="F663" s="347">
        <v>50.21</v>
      </c>
      <c r="G663" s="347"/>
      <c r="H663" s="328">
        <v>0</v>
      </c>
      <c r="I663" s="210"/>
    </row>
    <row r="664" spans="1:9" ht="24">
      <c r="A664" s="395">
        <v>9</v>
      </c>
      <c r="B664" s="792">
        <v>320200100900000</v>
      </c>
      <c r="C664" s="313" t="s">
        <v>2341</v>
      </c>
      <c r="D664" s="322"/>
      <c r="E664" s="328">
        <f t="shared" si="10"/>
        <v>579396.93000000005</v>
      </c>
      <c r="F664" s="347">
        <v>579396.93000000005</v>
      </c>
      <c r="G664" s="347"/>
      <c r="H664" s="328">
        <v>511310.01</v>
      </c>
      <c r="I664" s="210"/>
    </row>
    <row r="665" spans="1:9" ht="24">
      <c r="A665" s="396">
        <v>7</v>
      </c>
      <c r="B665" s="795">
        <v>3202001010000</v>
      </c>
      <c r="C665" s="316" t="s">
        <v>2603</v>
      </c>
      <c r="D665" s="323"/>
      <c r="E665" s="349"/>
      <c r="F665" s="349"/>
      <c r="G665" s="349"/>
      <c r="H665" s="349"/>
      <c r="I665" s="210"/>
    </row>
    <row r="666" spans="1:9" ht="24">
      <c r="A666" s="395">
        <v>8</v>
      </c>
      <c r="B666" s="794">
        <v>32020010110000</v>
      </c>
      <c r="C666" s="313" t="s">
        <v>2604</v>
      </c>
      <c r="D666" s="322"/>
      <c r="E666" s="328"/>
      <c r="F666" s="347"/>
      <c r="G666" s="347"/>
      <c r="H666" s="328"/>
      <c r="I666" s="210"/>
    </row>
    <row r="667" spans="1:9" ht="24">
      <c r="A667" s="396">
        <v>8</v>
      </c>
      <c r="B667" s="795">
        <v>3202001012000</v>
      </c>
      <c r="C667" s="316" t="s">
        <v>2605</v>
      </c>
      <c r="D667" s="323"/>
      <c r="E667" s="349"/>
      <c r="F667" s="349"/>
      <c r="G667" s="349"/>
      <c r="H667" s="349"/>
      <c r="I667" s="210"/>
    </row>
    <row r="668" spans="1:9" ht="24">
      <c r="A668" s="395">
        <v>9</v>
      </c>
      <c r="B668" s="794">
        <v>320200101201000</v>
      </c>
      <c r="C668" s="313" t="s">
        <v>2606</v>
      </c>
      <c r="D668" s="322"/>
      <c r="E668" s="328"/>
      <c r="F668" s="347"/>
      <c r="G668" s="347"/>
      <c r="H668" s="328"/>
      <c r="I668" s="210"/>
    </row>
    <row r="669" spans="1:9" ht="24">
      <c r="A669" s="395">
        <v>9</v>
      </c>
      <c r="B669" s="794">
        <v>320200101202000</v>
      </c>
      <c r="C669" s="313" t="s">
        <v>2607</v>
      </c>
      <c r="D669" s="322"/>
      <c r="E669" s="328"/>
      <c r="F669" s="347"/>
      <c r="G669" s="347"/>
      <c r="H669" s="328"/>
      <c r="I669" s="210"/>
    </row>
    <row r="670" spans="1:9">
      <c r="A670" s="395">
        <v>9</v>
      </c>
      <c r="B670" s="794">
        <v>320200101203000</v>
      </c>
      <c r="C670" s="313" t="s">
        <v>2608</v>
      </c>
      <c r="D670" s="322"/>
      <c r="E670" s="328"/>
      <c r="F670" s="347"/>
      <c r="G670" s="347"/>
      <c r="H670" s="328"/>
      <c r="I670" s="210"/>
    </row>
    <row r="671" spans="1:9" ht="24">
      <c r="A671" s="396">
        <v>8</v>
      </c>
      <c r="B671" s="795">
        <v>3202001013000</v>
      </c>
      <c r="C671" s="316" t="s">
        <v>2609</v>
      </c>
      <c r="D671" s="323"/>
      <c r="E671" s="349"/>
      <c r="F671" s="349"/>
      <c r="G671" s="349"/>
      <c r="H671" s="349"/>
      <c r="I671" s="210"/>
    </row>
    <row r="672" spans="1:9" ht="24">
      <c r="A672" s="395">
        <v>9</v>
      </c>
      <c r="B672" s="794">
        <v>320200101301000</v>
      </c>
      <c r="C672" s="313" t="s">
        <v>2610</v>
      </c>
      <c r="D672" s="322"/>
      <c r="E672" s="328"/>
      <c r="F672" s="347"/>
      <c r="G672" s="347"/>
      <c r="H672" s="328"/>
      <c r="I672" s="210"/>
    </row>
    <row r="673" spans="1:9" ht="24">
      <c r="A673" s="395">
        <v>9</v>
      </c>
      <c r="B673" s="794">
        <v>320200101302000</v>
      </c>
      <c r="C673" s="313" t="s">
        <v>2611</v>
      </c>
      <c r="D673" s="322"/>
      <c r="E673" s="328"/>
      <c r="F673" s="347"/>
      <c r="G673" s="347"/>
      <c r="H673" s="328"/>
      <c r="I673" s="210"/>
    </row>
    <row r="674" spans="1:9" ht="24">
      <c r="A674" s="395">
        <v>9</v>
      </c>
      <c r="B674" s="794">
        <v>320200101303000</v>
      </c>
      <c r="C674" s="313" t="s">
        <v>2612</v>
      </c>
      <c r="D674" s="322"/>
      <c r="E674" s="328"/>
      <c r="F674" s="347"/>
      <c r="G674" s="347"/>
      <c r="H674" s="328"/>
      <c r="I674" s="210"/>
    </row>
    <row r="675" spans="1:9" ht="24">
      <c r="A675" s="395">
        <v>8</v>
      </c>
      <c r="B675" s="794">
        <v>320200101400000</v>
      </c>
      <c r="C675" s="313" t="s">
        <v>2613</v>
      </c>
      <c r="D675" s="322"/>
      <c r="E675" s="328"/>
      <c r="F675" s="347"/>
      <c r="G675" s="347"/>
      <c r="H675" s="328"/>
      <c r="I675" s="210"/>
    </row>
    <row r="676" spans="1:9" ht="24">
      <c r="A676" s="395">
        <v>8</v>
      </c>
      <c r="B676" s="794">
        <v>320200101500000</v>
      </c>
      <c r="C676" s="313" t="s">
        <v>2614</v>
      </c>
      <c r="D676" s="322"/>
      <c r="E676" s="328"/>
      <c r="F676" s="347"/>
      <c r="G676" s="347"/>
      <c r="H676" s="328"/>
      <c r="I676" s="210"/>
    </row>
    <row r="677" spans="1:9" ht="24">
      <c r="A677" s="395">
        <v>8</v>
      </c>
      <c r="B677" s="794">
        <v>320200101600000</v>
      </c>
      <c r="C677" s="313" t="s">
        <v>2615</v>
      </c>
      <c r="D677" s="322"/>
      <c r="E677" s="328"/>
      <c r="F677" s="347"/>
      <c r="G677" s="347"/>
      <c r="H677" s="328"/>
      <c r="I677" s="210"/>
    </row>
    <row r="678" spans="1:9" ht="24">
      <c r="A678" s="395">
        <v>8</v>
      </c>
      <c r="B678" s="794">
        <v>320200101900000</v>
      </c>
      <c r="C678" s="313" t="s">
        <v>2616</v>
      </c>
      <c r="D678" s="322"/>
      <c r="E678" s="328"/>
      <c r="F678" s="347"/>
      <c r="G678" s="347"/>
      <c r="H678" s="328"/>
      <c r="I678" s="210"/>
    </row>
    <row r="679" spans="1:9" ht="24">
      <c r="A679" s="396">
        <v>7</v>
      </c>
      <c r="B679" s="795">
        <v>3202001020000</v>
      </c>
      <c r="C679" s="316" t="s">
        <v>2617</v>
      </c>
      <c r="D679" s="323"/>
      <c r="E679" s="349"/>
      <c r="F679" s="349"/>
      <c r="G679" s="349"/>
      <c r="H679" s="349"/>
      <c r="I679" s="210"/>
    </row>
    <row r="680" spans="1:9" ht="24">
      <c r="A680" s="395">
        <v>8</v>
      </c>
      <c r="B680" s="794">
        <v>320200102100000</v>
      </c>
      <c r="C680" s="313" t="s">
        <v>2618</v>
      </c>
      <c r="D680" s="322"/>
      <c r="E680" s="328"/>
      <c r="F680" s="347"/>
      <c r="G680" s="347"/>
      <c r="H680" s="328"/>
      <c r="I680" s="210"/>
    </row>
    <row r="681" spans="1:9" ht="24">
      <c r="A681" s="396">
        <v>8</v>
      </c>
      <c r="B681" s="795">
        <v>3202001022000</v>
      </c>
      <c r="C681" s="316" t="s">
        <v>2619</v>
      </c>
      <c r="D681" s="323"/>
      <c r="E681" s="349"/>
      <c r="F681" s="349"/>
      <c r="G681" s="349"/>
      <c r="H681" s="349"/>
      <c r="I681" s="210"/>
    </row>
    <row r="682" spans="1:9" ht="24">
      <c r="A682" s="395">
        <v>9</v>
      </c>
      <c r="B682" s="794">
        <v>320200102201000</v>
      </c>
      <c r="C682" s="313" t="s">
        <v>2620</v>
      </c>
      <c r="D682" s="322"/>
      <c r="E682" s="328"/>
      <c r="F682" s="347"/>
      <c r="G682" s="347"/>
      <c r="H682" s="328"/>
      <c r="I682" s="210"/>
    </row>
    <row r="683" spans="1:9" ht="24">
      <c r="A683" s="395">
        <v>9</v>
      </c>
      <c r="B683" s="794">
        <v>320200102202000</v>
      </c>
      <c r="C683" s="313" t="s">
        <v>2621</v>
      </c>
      <c r="D683" s="322"/>
      <c r="E683" s="328"/>
      <c r="F683" s="347"/>
      <c r="G683" s="347"/>
      <c r="H683" s="328"/>
      <c r="I683" s="210"/>
    </row>
    <row r="684" spans="1:9">
      <c r="A684" s="395">
        <v>9</v>
      </c>
      <c r="B684" s="794">
        <v>320200102203000</v>
      </c>
      <c r="C684" s="313" t="s">
        <v>2622</v>
      </c>
      <c r="D684" s="322"/>
      <c r="E684" s="328"/>
      <c r="F684" s="347"/>
      <c r="G684" s="347"/>
      <c r="H684" s="328"/>
      <c r="I684" s="210"/>
    </row>
    <row r="685" spans="1:9" ht="24">
      <c r="A685" s="396">
        <v>8</v>
      </c>
      <c r="B685" s="795">
        <v>3202001023000</v>
      </c>
      <c r="C685" s="316" t="s">
        <v>2623</v>
      </c>
      <c r="D685" s="323"/>
      <c r="E685" s="349"/>
      <c r="F685" s="349"/>
      <c r="G685" s="349"/>
      <c r="H685" s="349"/>
      <c r="I685" s="210"/>
    </row>
    <row r="686" spans="1:9" ht="24">
      <c r="A686" s="395">
        <v>9</v>
      </c>
      <c r="B686" s="794">
        <v>320200102301000</v>
      </c>
      <c r="C686" s="313" t="s">
        <v>2624</v>
      </c>
      <c r="D686" s="322"/>
      <c r="E686" s="328"/>
      <c r="F686" s="347"/>
      <c r="G686" s="347"/>
      <c r="H686" s="328"/>
      <c r="I686" s="210"/>
    </row>
    <row r="687" spans="1:9" ht="24">
      <c r="A687" s="395">
        <v>9</v>
      </c>
      <c r="B687" s="794">
        <v>320200102302000</v>
      </c>
      <c r="C687" s="313" t="s">
        <v>2625</v>
      </c>
      <c r="D687" s="322"/>
      <c r="E687" s="328"/>
      <c r="F687" s="347"/>
      <c r="G687" s="347"/>
      <c r="H687" s="328"/>
      <c r="I687" s="210"/>
    </row>
    <row r="688" spans="1:9" ht="24">
      <c r="A688" s="395">
        <v>9</v>
      </c>
      <c r="B688" s="794">
        <v>320200102303000</v>
      </c>
      <c r="C688" s="313" t="s">
        <v>2626</v>
      </c>
      <c r="D688" s="322"/>
      <c r="E688" s="328"/>
      <c r="F688" s="347"/>
      <c r="G688" s="347"/>
      <c r="H688" s="328"/>
      <c r="I688" s="210"/>
    </row>
    <row r="689" spans="1:9" ht="24">
      <c r="A689" s="395">
        <v>8</v>
      </c>
      <c r="B689" s="794">
        <v>320200102400000</v>
      </c>
      <c r="C689" s="313" t="s">
        <v>2627</v>
      </c>
      <c r="D689" s="322"/>
      <c r="E689" s="328"/>
      <c r="F689" s="347"/>
      <c r="G689" s="347"/>
      <c r="H689" s="328"/>
      <c r="I689" s="210"/>
    </row>
    <row r="690" spans="1:9" ht="24">
      <c r="A690" s="395">
        <v>8</v>
      </c>
      <c r="B690" s="794">
        <v>320200102500000</v>
      </c>
      <c r="C690" s="313" t="s">
        <v>2628</v>
      </c>
      <c r="D690" s="322"/>
      <c r="E690" s="328"/>
      <c r="F690" s="347"/>
      <c r="G690" s="347"/>
      <c r="H690" s="328"/>
      <c r="I690" s="210"/>
    </row>
    <row r="691" spans="1:9" ht="24">
      <c r="A691" s="395">
        <v>8</v>
      </c>
      <c r="B691" s="794">
        <v>320200102600000</v>
      </c>
      <c r="C691" s="313" t="s">
        <v>2629</v>
      </c>
      <c r="D691" s="322"/>
      <c r="E691" s="328"/>
      <c r="F691" s="347"/>
      <c r="G691" s="347"/>
      <c r="H691" s="328"/>
      <c r="I691" s="210"/>
    </row>
    <row r="692" spans="1:9" ht="24">
      <c r="A692" s="395">
        <v>8</v>
      </c>
      <c r="B692" s="794">
        <v>320200102900000</v>
      </c>
      <c r="C692" s="313" t="s">
        <v>2630</v>
      </c>
      <c r="D692" s="322"/>
      <c r="E692" s="328"/>
      <c r="F692" s="347"/>
      <c r="G692" s="347"/>
      <c r="H692" s="328"/>
      <c r="I692" s="210"/>
    </row>
    <row r="693" spans="1:9" ht="25.5">
      <c r="A693" s="394">
        <v>6</v>
      </c>
      <c r="B693" s="793" t="s">
        <v>918</v>
      </c>
      <c r="C693" s="310" t="s">
        <v>2342</v>
      </c>
      <c r="D693" s="321"/>
      <c r="E693" s="352"/>
      <c r="F693" s="352"/>
      <c r="G693" s="352"/>
      <c r="H693" s="352">
        <v>0</v>
      </c>
    </row>
    <row r="694" spans="1:9" ht="24">
      <c r="A694" s="396">
        <v>7</v>
      </c>
      <c r="B694" s="795">
        <v>3202002000000</v>
      </c>
      <c r="C694" s="316" t="s">
        <v>2343</v>
      </c>
      <c r="D694" s="323"/>
      <c r="E694" s="349"/>
      <c r="F694" s="349"/>
      <c r="G694" s="349"/>
      <c r="H694" s="349">
        <v>0</v>
      </c>
      <c r="I694" s="210"/>
    </row>
    <row r="695" spans="1:9" ht="24">
      <c r="A695" s="395">
        <v>8</v>
      </c>
      <c r="B695" s="794">
        <v>320200200100000</v>
      </c>
      <c r="C695" s="313" t="s">
        <v>2344</v>
      </c>
      <c r="D695" s="322"/>
      <c r="E695" s="328">
        <f t="shared" si="10"/>
        <v>8843.94</v>
      </c>
      <c r="F695" s="347">
        <v>8843.94</v>
      </c>
      <c r="G695" s="347"/>
      <c r="H695" s="328">
        <v>9951.51</v>
      </c>
      <c r="I695" s="210"/>
    </row>
    <row r="696" spans="1:9" ht="24">
      <c r="A696" s="396">
        <v>8</v>
      </c>
      <c r="B696" s="795">
        <v>3202002002000</v>
      </c>
      <c r="C696" s="316" t="s">
        <v>2345</v>
      </c>
      <c r="D696" s="323"/>
      <c r="E696" s="349"/>
      <c r="F696" s="349"/>
      <c r="G696" s="349"/>
      <c r="H696" s="349">
        <v>0</v>
      </c>
      <c r="I696" s="210"/>
    </row>
    <row r="697" spans="1:9" ht="24">
      <c r="A697" s="395">
        <v>9</v>
      </c>
      <c r="B697" s="792">
        <v>320200200201000</v>
      </c>
      <c r="C697" s="313" t="s">
        <v>2346</v>
      </c>
      <c r="D697" s="322"/>
      <c r="E697" s="328">
        <f t="shared" si="10"/>
        <v>1302.47</v>
      </c>
      <c r="F697" s="347">
        <v>1302.47</v>
      </c>
      <c r="G697" s="347"/>
      <c r="H697" s="328">
        <v>0</v>
      </c>
      <c r="I697" s="210"/>
    </row>
    <row r="698" spans="1:9" ht="24">
      <c r="A698" s="395">
        <v>9</v>
      </c>
      <c r="B698" s="792">
        <v>320200200202000</v>
      </c>
      <c r="C698" s="313" t="s">
        <v>2347</v>
      </c>
      <c r="D698" s="322"/>
      <c r="E698" s="328">
        <f t="shared" si="10"/>
        <v>1676.38</v>
      </c>
      <c r="F698" s="347">
        <v>1676.38</v>
      </c>
      <c r="G698" s="347"/>
      <c r="H698" s="328">
        <v>1336.39</v>
      </c>
      <c r="I698" s="210"/>
    </row>
    <row r="699" spans="1:9" ht="24">
      <c r="A699" s="395">
        <v>9</v>
      </c>
      <c r="B699" s="792">
        <v>320200200203000</v>
      </c>
      <c r="C699" s="313" t="s">
        <v>2348</v>
      </c>
      <c r="D699" s="322"/>
      <c r="E699" s="328">
        <f t="shared" si="10"/>
        <v>4282</v>
      </c>
      <c r="F699" s="347">
        <v>4282</v>
      </c>
      <c r="G699" s="347"/>
      <c r="H699" s="328">
        <v>2017.39</v>
      </c>
      <c r="I699" s="210"/>
    </row>
    <row r="700" spans="1:9" ht="24">
      <c r="A700" s="396">
        <v>8</v>
      </c>
      <c r="B700" s="795">
        <v>3202002003000</v>
      </c>
      <c r="C700" s="316" t="s">
        <v>2349</v>
      </c>
      <c r="D700" s="323"/>
      <c r="E700" s="349"/>
      <c r="F700" s="349"/>
      <c r="G700" s="349"/>
      <c r="H700" s="349">
        <v>0</v>
      </c>
      <c r="I700" s="210"/>
    </row>
    <row r="701" spans="1:9">
      <c r="A701" s="395">
        <v>9</v>
      </c>
      <c r="B701" s="792">
        <v>320200200301000</v>
      </c>
      <c r="C701" s="313" t="s">
        <v>2350</v>
      </c>
      <c r="D701" s="322"/>
      <c r="E701" s="328">
        <f t="shared" si="10"/>
        <v>333.23</v>
      </c>
      <c r="F701" s="347">
        <v>333.23</v>
      </c>
      <c r="G701" s="347"/>
      <c r="H701" s="328">
        <v>381.67</v>
      </c>
      <c r="I701" s="210"/>
    </row>
    <row r="702" spans="1:9" ht="24">
      <c r="A702" s="395">
        <v>9</v>
      </c>
      <c r="B702" s="792">
        <v>320200200302000</v>
      </c>
      <c r="C702" s="313" t="s">
        <v>2351</v>
      </c>
      <c r="D702" s="322"/>
      <c r="E702" s="328">
        <f t="shared" si="10"/>
        <v>0</v>
      </c>
      <c r="F702" s="347"/>
      <c r="G702" s="347"/>
      <c r="H702" s="328">
        <v>0</v>
      </c>
      <c r="I702" s="210"/>
    </row>
    <row r="703" spans="1:9" ht="24">
      <c r="A703" s="395">
        <v>9</v>
      </c>
      <c r="B703" s="792">
        <v>320200200303000</v>
      </c>
      <c r="C703" s="313" t="s">
        <v>2352</v>
      </c>
      <c r="D703" s="322"/>
      <c r="E703" s="328">
        <f t="shared" si="10"/>
        <v>137.05000000000001</v>
      </c>
      <c r="F703" s="347">
        <v>137.05000000000001</v>
      </c>
      <c r="G703" s="347"/>
      <c r="H703" s="328">
        <v>156.03</v>
      </c>
      <c r="I703" s="210"/>
    </row>
    <row r="704" spans="1:9" ht="24">
      <c r="A704" s="395">
        <v>9</v>
      </c>
      <c r="B704" s="792">
        <v>320200200400000</v>
      </c>
      <c r="C704" s="313" t="s">
        <v>2353</v>
      </c>
      <c r="D704" s="322"/>
      <c r="E704" s="328">
        <f t="shared" si="10"/>
        <v>0</v>
      </c>
      <c r="F704" s="347"/>
      <c r="G704" s="347"/>
      <c r="H704" s="328">
        <v>0</v>
      </c>
      <c r="I704" s="210"/>
    </row>
    <row r="705" spans="1:9" ht="24">
      <c r="A705" s="395">
        <v>9</v>
      </c>
      <c r="B705" s="792">
        <v>320200200500000</v>
      </c>
      <c r="C705" s="313" t="s">
        <v>2354</v>
      </c>
      <c r="D705" s="322"/>
      <c r="E705" s="328">
        <f t="shared" si="10"/>
        <v>0</v>
      </c>
      <c r="F705" s="347"/>
      <c r="G705" s="347"/>
      <c r="H705" s="328">
        <v>0</v>
      </c>
      <c r="I705" s="210"/>
    </row>
    <row r="706" spans="1:9" ht="24">
      <c r="A706" s="395">
        <v>9</v>
      </c>
      <c r="B706" s="792">
        <v>320200200600000</v>
      </c>
      <c r="C706" s="313" t="s">
        <v>2355</v>
      </c>
      <c r="D706" s="322"/>
      <c r="E706" s="328">
        <f t="shared" si="10"/>
        <v>0</v>
      </c>
      <c r="F706" s="347"/>
      <c r="G706" s="347"/>
      <c r="H706" s="328">
        <v>0</v>
      </c>
      <c r="I706" s="210"/>
    </row>
    <row r="707" spans="1:9" ht="24">
      <c r="A707" s="395">
        <v>9</v>
      </c>
      <c r="B707" s="792">
        <v>320200200900000</v>
      </c>
      <c r="C707" s="313" t="s">
        <v>2356</v>
      </c>
      <c r="D707" s="322"/>
      <c r="E707" s="328">
        <f t="shared" si="10"/>
        <v>4659.47</v>
      </c>
      <c r="F707" s="347">
        <v>4659.47</v>
      </c>
      <c r="G707" s="347"/>
      <c r="H707" s="328">
        <v>4188.29</v>
      </c>
      <c r="I707" s="210"/>
    </row>
    <row r="708" spans="1:9" ht="24">
      <c r="A708" s="396">
        <v>8</v>
      </c>
      <c r="B708" s="795">
        <v>3202002010000</v>
      </c>
      <c r="C708" s="316" t="s">
        <v>2357</v>
      </c>
      <c r="D708" s="323"/>
      <c r="E708" s="349"/>
      <c r="F708" s="349"/>
      <c r="G708" s="349"/>
      <c r="H708" s="349">
        <v>0</v>
      </c>
      <c r="I708" s="210"/>
    </row>
    <row r="709" spans="1:9" ht="24">
      <c r="A709" s="395">
        <v>9</v>
      </c>
      <c r="B709" s="792">
        <v>320200201100000</v>
      </c>
      <c r="C709" s="313" t="s">
        <v>2358</v>
      </c>
      <c r="D709" s="322"/>
      <c r="E709" s="328">
        <f t="shared" si="10"/>
        <v>0</v>
      </c>
      <c r="F709" s="347"/>
      <c r="G709" s="347"/>
      <c r="H709" s="328">
        <v>0</v>
      </c>
      <c r="I709" s="210"/>
    </row>
    <row r="710" spans="1:9" ht="24">
      <c r="A710" s="396">
        <v>8</v>
      </c>
      <c r="B710" s="795">
        <v>3202002012000</v>
      </c>
      <c r="C710" s="316" t="s">
        <v>2359</v>
      </c>
      <c r="D710" s="323"/>
      <c r="E710" s="349"/>
      <c r="F710" s="349"/>
      <c r="G710" s="349"/>
      <c r="H710" s="349">
        <v>0</v>
      </c>
      <c r="I710" s="210"/>
    </row>
    <row r="711" spans="1:9" ht="24">
      <c r="A711" s="395">
        <v>9</v>
      </c>
      <c r="B711" s="792">
        <v>320200201201000</v>
      </c>
      <c r="C711" s="313" t="s">
        <v>2360</v>
      </c>
      <c r="D711" s="322"/>
      <c r="E711" s="328">
        <f t="shared" si="10"/>
        <v>0</v>
      </c>
      <c r="F711" s="347"/>
      <c r="G711" s="347"/>
      <c r="H711" s="328">
        <v>0</v>
      </c>
      <c r="I711" s="210"/>
    </row>
    <row r="712" spans="1:9" ht="24">
      <c r="A712" s="395">
        <v>9</v>
      </c>
      <c r="B712" s="792">
        <v>320200201202000</v>
      </c>
      <c r="C712" s="313" t="s">
        <v>2361</v>
      </c>
      <c r="D712" s="322"/>
      <c r="E712" s="328">
        <f t="shared" si="10"/>
        <v>0</v>
      </c>
      <c r="F712" s="347"/>
      <c r="G712" s="347"/>
      <c r="H712" s="328">
        <v>0</v>
      </c>
      <c r="I712" s="210"/>
    </row>
    <row r="713" spans="1:9">
      <c r="A713" s="395">
        <v>9</v>
      </c>
      <c r="B713" s="792">
        <v>320200201203000</v>
      </c>
      <c r="C713" s="313" t="s">
        <v>2362</v>
      </c>
      <c r="D713" s="322"/>
      <c r="E713" s="328">
        <f t="shared" si="10"/>
        <v>0</v>
      </c>
      <c r="F713" s="347"/>
      <c r="G713" s="347"/>
      <c r="H713" s="328">
        <v>0</v>
      </c>
      <c r="I713" s="210"/>
    </row>
    <row r="714" spans="1:9" ht="24">
      <c r="A714" s="396">
        <v>8</v>
      </c>
      <c r="B714" s="795">
        <v>3202002013000</v>
      </c>
      <c r="C714" s="316" t="s">
        <v>2363</v>
      </c>
      <c r="D714" s="323"/>
      <c r="E714" s="349"/>
      <c r="F714" s="349"/>
      <c r="G714" s="349"/>
      <c r="H714" s="349">
        <v>0</v>
      </c>
      <c r="I714" s="210"/>
    </row>
    <row r="715" spans="1:9" ht="24">
      <c r="A715" s="395">
        <v>9</v>
      </c>
      <c r="B715" s="792">
        <v>320200201301000</v>
      </c>
      <c r="C715" s="313" t="s">
        <v>2364</v>
      </c>
      <c r="D715" s="322"/>
      <c r="E715" s="328">
        <f t="shared" si="10"/>
        <v>0</v>
      </c>
      <c r="F715" s="347"/>
      <c r="G715" s="347"/>
      <c r="H715" s="328">
        <v>0</v>
      </c>
      <c r="I715" s="210"/>
    </row>
    <row r="716" spans="1:9" ht="24">
      <c r="A716" s="395">
        <v>9</v>
      </c>
      <c r="B716" s="792">
        <v>320200201302000</v>
      </c>
      <c r="C716" s="313" t="s">
        <v>2365</v>
      </c>
      <c r="D716" s="322"/>
      <c r="E716" s="328">
        <f t="shared" si="10"/>
        <v>0</v>
      </c>
      <c r="F716" s="347"/>
      <c r="G716" s="347"/>
      <c r="H716" s="328">
        <v>0</v>
      </c>
      <c r="I716" s="210"/>
    </row>
    <row r="717" spans="1:9" ht="24">
      <c r="A717" s="395">
        <v>9</v>
      </c>
      <c r="B717" s="792">
        <v>320200201303000</v>
      </c>
      <c r="C717" s="313" t="s">
        <v>2366</v>
      </c>
      <c r="D717" s="322"/>
      <c r="E717" s="328">
        <f t="shared" si="10"/>
        <v>0</v>
      </c>
      <c r="F717" s="347"/>
      <c r="G717" s="347"/>
      <c r="H717" s="328">
        <v>0</v>
      </c>
      <c r="I717" s="210"/>
    </row>
    <row r="718" spans="1:9" ht="24">
      <c r="A718" s="395">
        <v>9</v>
      </c>
      <c r="B718" s="792">
        <v>320200201400000</v>
      </c>
      <c r="C718" s="313" t="s">
        <v>2367</v>
      </c>
      <c r="D718" s="322"/>
      <c r="E718" s="328">
        <f t="shared" si="10"/>
        <v>0</v>
      </c>
      <c r="F718" s="347"/>
      <c r="G718" s="347"/>
      <c r="H718" s="328">
        <v>0</v>
      </c>
      <c r="I718" s="210"/>
    </row>
    <row r="719" spans="1:9" ht="24">
      <c r="A719" s="395">
        <v>9</v>
      </c>
      <c r="B719" s="792">
        <v>320200201500000</v>
      </c>
      <c r="C719" s="313" t="s">
        <v>2368</v>
      </c>
      <c r="D719" s="322"/>
      <c r="E719" s="328">
        <f t="shared" si="10"/>
        <v>0</v>
      </c>
      <c r="F719" s="347"/>
      <c r="G719" s="347"/>
      <c r="H719" s="328">
        <v>0</v>
      </c>
      <c r="I719" s="210"/>
    </row>
    <row r="720" spans="1:9" ht="24">
      <c r="A720" s="395">
        <v>9</v>
      </c>
      <c r="B720" s="792">
        <v>320200201600000</v>
      </c>
      <c r="C720" s="313" t="s">
        <v>2369</v>
      </c>
      <c r="D720" s="322"/>
      <c r="E720" s="328">
        <f t="shared" si="10"/>
        <v>0</v>
      </c>
      <c r="F720" s="347"/>
      <c r="G720" s="347"/>
      <c r="H720" s="328">
        <v>0</v>
      </c>
      <c r="I720" s="210"/>
    </row>
    <row r="721" spans="1:9" ht="24">
      <c r="A721" s="395">
        <v>9</v>
      </c>
      <c r="B721" s="792">
        <v>320200201900000</v>
      </c>
      <c r="C721" s="313" t="s">
        <v>2370</v>
      </c>
      <c r="D721" s="322"/>
      <c r="E721" s="328">
        <f t="shared" si="10"/>
        <v>0</v>
      </c>
      <c r="F721" s="347"/>
      <c r="G721" s="347"/>
      <c r="H721" s="328">
        <v>0</v>
      </c>
      <c r="I721" s="210"/>
    </row>
    <row r="722" spans="1:9" ht="24">
      <c r="A722" s="396">
        <v>7</v>
      </c>
      <c r="B722" s="795">
        <v>3202002020000</v>
      </c>
      <c r="C722" s="316" t="s">
        <v>2371</v>
      </c>
      <c r="D722" s="323"/>
      <c r="E722" s="349"/>
      <c r="F722" s="349"/>
      <c r="G722" s="349"/>
      <c r="H722" s="349">
        <v>0</v>
      </c>
      <c r="I722" s="210"/>
    </row>
    <row r="723" spans="1:9" ht="24">
      <c r="A723" s="395">
        <v>8</v>
      </c>
      <c r="B723" s="792">
        <v>320200202100000</v>
      </c>
      <c r="C723" s="313" t="s">
        <v>2372</v>
      </c>
      <c r="D723" s="322"/>
      <c r="E723" s="328">
        <f t="shared" si="10"/>
        <v>0</v>
      </c>
      <c r="F723" s="347"/>
      <c r="G723" s="347"/>
      <c r="H723" s="328">
        <v>0</v>
      </c>
      <c r="I723" s="210"/>
    </row>
    <row r="724" spans="1:9" ht="24">
      <c r="A724" s="396">
        <v>8</v>
      </c>
      <c r="B724" s="795">
        <v>3202002022000</v>
      </c>
      <c r="C724" s="316" t="s">
        <v>2373</v>
      </c>
      <c r="D724" s="323"/>
      <c r="E724" s="349"/>
      <c r="F724" s="349"/>
      <c r="G724" s="349"/>
      <c r="H724" s="349">
        <v>0</v>
      </c>
      <c r="I724" s="210"/>
    </row>
    <row r="725" spans="1:9" ht="24">
      <c r="A725" s="395">
        <v>9</v>
      </c>
      <c r="B725" s="792">
        <v>320200202201000</v>
      </c>
      <c r="C725" s="313" t="s">
        <v>2374</v>
      </c>
      <c r="D725" s="322"/>
      <c r="E725" s="328">
        <f t="shared" si="10"/>
        <v>0</v>
      </c>
      <c r="F725" s="347"/>
      <c r="G725" s="347"/>
      <c r="H725" s="328">
        <v>0</v>
      </c>
      <c r="I725" s="210"/>
    </row>
    <row r="726" spans="1:9" ht="24">
      <c r="A726" s="395">
        <v>9</v>
      </c>
      <c r="B726" s="792">
        <v>320200202202000</v>
      </c>
      <c r="C726" s="313" t="s">
        <v>2375</v>
      </c>
      <c r="D726" s="322"/>
      <c r="E726" s="328">
        <f t="shared" si="10"/>
        <v>0</v>
      </c>
      <c r="F726" s="347"/>
      <c r="G726" s="347"/>
      <c r="H726" s="328">
        <v>0</v>
      </c>
      <c r="I726" s="210"/>
    </row>
    <row r="727" spans="1:9">
      <c r="A727" s="395">
        <v>9</v>
      </c>
      <c r="B727" s="792">
        <v>320200202203000</v>
      </c>
      <c r="C727" s="313" t="s">
        <v>2376</v>
      </c>
      <c r="D727" s="322"/>
      <c r="E727" s="328">
        <f t="shared" si="10"/>
        <v>0</v>
      </c>
      <c r="F727" s="347"/>
      <c r="G727" s="347"/>
      <c r="H727" s="328">
        <v>0</v>
      </c>
      <c r="I727" s="210"/>
    </row>
    <row r="728" spans="1:9" ht="24">
      <c r="A728" s="396">
        <v>8</v>
      </c>
      <c r="B728" s="795">
        <v>3202002023000</v>
      </c>
      <c r="C728" s="316" t="s">
        <v>2377</v>
      </c>
      <c r="D728" s="323"/>
      <c r="E728" s="349"/>
      <c r="F728" s="349"/>
      <c r="G728" s="349"/>
      <c r="H728" s="349">
        <v>0</v>
      </c>
      <c r="I728" s="210"/>
    </row>
    <row r="729" spans="1:9" ht="24">
      <c r="A729" s="395">
        <v>9</v>
      </c>
      <c r="B729" s="792">
        <v>320200202301000</v>
      </c>
      <c r="C729" s="313" t="s">
        <v>2378</v>
      </c>
      <c r="D729" s="322"/>
      <c r="E729" s="328">
        <f t="shared" si="10"/>
        <v>0</v>
      </c>
      <c r="F729" s="347"/>
      <c r="G729" s="347"/>
      <c r="H729" s="328">
        <v>0</v>
      </c>
      <c r="I729" s="210"/>
    </row>
    <row r="730" spans="1:9" ht="24">
      <c r="A730" s="395">
        <v>9</v>
      </c>
      <c r="B730" s="792">
        <v>320200202302000</v>
      </c>
      <c r="C730" s="313" t="s">
        <v>2379</v>
      </c>
      <c r="D730" s="322"/>
      <c r="E730" s="328">
        <f t="shared" si="10"/>
        <v>0</v>
      </c>
      <c r="F730" s="347"/>
      <c r="G730" s="347"/>
      <c r="H730" s="328">
        <v>0</v>
      </c>
      <c r="I730" s="210"/>
    </row>
    <row r="731" spans="1:9" ht="24">
      <c r="A731" s="395">
        <v>9</v>
      </c>
      <c r="B731" s="792">
        <v>320200202303000</v>
      </c>
      <c r="C731" s="313" t="s">
        <v>2380</v>
      </c>
      <c r="D731" s="322"/>
      <c r="E731" s="328">
        <f t="shared" si="10"/>
        <v>0</v>
      </c>
      <c r="F731" s="347"/>
      <c r="G731" s="347"/>
      <c r="H731" s="328">
        <v>0</v>
      </c>
      <c r="I731" s="210"/>
    </row>
    <row r="732" spans="1:9" ht="24">
      <c r="A732" s="395">
        <v>8</v>
      </c>
      <c r="B732" s="792">
        <v>320200202400000</v>
      </c>
      <c r="C732" s="313" t="s">
        <v>2381</v>
      </c>
      <c r="D732" s="322"/>
      <c r="E732" s="328">
        <f t="shared" si="10"/>
        <v>0</v>
      </c>
      <c r="F732" s="347"/>
      <c r="G732" s="347"/>
      <c r="H732" s="328">
        <v>0</v>
      </c>
      <c r="I732" s="210"/>
    </row>
    <row r="733" spans="1:9" ht="24">
      <c r="A733" s="395">
        <v>8</v>
      </c>
      <c r="B733" s="792">
        <v>320200202500000</v>
      </c>
      <c r="C733" s="313" t="s">
        <v>2382</v>
      </c>
      <c r="D733" s="322"/>
      <c r="E733" s="328">
        <f t="shared" si="10"/>
        <v>0</v>
      </c>
      <c r="F733" s="347"/>
      <c r="G733" s="347"/>
      <c r="H733" s="328">
        <v>0</v>
      </c>
      <c r="I733" s="210"/>
    </row>
    <row r="734" spans="1:9" ht="24">
      <c r="A734" s="395">
        <v>8</v>
      </c>
      <c r="B734" s="792">
        <v>320200202600000</v>
      </c>
      <c r="C734" s="313" t="s">
        <v>2383</v>
      </c>
      <c r="D734" s="322"/>
      <c r="E734" s="328">
        <f t="shared" si="10"/>
        <v>0</v>
      </c>
      <c r="F734" s="347"/>
      <c r="G734" s="347"/>
      <c r="H734" s="328">
        <v>0</v>
      </c>
      <c r="I734" s="210"/>
    </row>
    <row r="735" spans="1:9" ht="24">
      <c r="A735" s="395">
        <v>8</v>
      </c>
      <c r="B735" s="792">
        <v>320200202900000</v>
      </c>
      <c r="C735" s="313" t="s">
        <v>2384</v>
      </c>
      <c r="D735" s="322"/>
      <c r="E735" s="328">
        <f t="shared" si="10"/>
        <v>0</v>
      </c>
      <c r="F735" s="347"/>
      <c r="G735" s="347"/>
      <c r="H735" s="328">
        <v>0</v>
      </c>
      <c r="I735" s="210"/>
    </row>
    <row r="736" spans="1:9">
      <c r="A736" s="394">
        <v>6</v>
      </c>
      <c r="B736" s="793" t="s">
        <v>920</v>
      </c>
      <c r="C736" s="310" t="s">
        <v>1617</v>
      </c>
      <c r="D736" s="321"/>
      <c r="E736" s="352"/>
      <c r="F736" s="352"/>
      <c r="G736" s="352"/>
      <c r="H736" s="352">
        <v>0</v>
      </c>
    </row>
    <row r="737" spans="1:9">
      <c r="A737" s="395">
        <v>7</v>
      </c>
      <c r="B737" s="792">
        <v>320200300000000</v>
      </c>
      <c r="C737" s="313" t="s">
        <v>919</v>
      </c>
      <c r="D737" s="322"/>
      <c r="E737" s="328">
        <f t="shared" si="10"/>
        <v>0</v>
      </c>
      <c r="F737" s="347"/>
      <c r="G737" s="347"/>
      <c r="H737" s="328">
        <v>0</v>
      </c>
      <c r="I737" s="210"/>
    </row>
    <row r="738" spans="1:9">
      <c r="A738" s="394">
        <v>4</v>
      </c>
      <c r="B738" s="793" t="s">
        <v>921</v>
      </c>
      <c r="C738" s="310" t="s">
        <v>2385</v>
      </c>
      <c r="D738" s="321"/>
      <c r="E738" s="352"/>
      <c r="F738" s="352"/>
      <c r="G738" s="352"/>
      <c r="H738" s="352">
        <v>0</v>
      </c>
    </row>
    <row r="739" spans="1:9">
      <c r="A739" s="394">
        <v>5</v>
      </c>
      <c r="B739" s="793" t="s">
        <v>922</v>
      </c>
      <c r="C739" s="310" t="s">
        <v>1619</v>
      </c>
      <c r="D739" s="321"/>
      <c r="E739" s="352"/>
      <c r="F739" s="352"/>
      <c r="G739" s="352"/>
      <c r="H739" s="352">
        <v>0</v>
      </c>
    </row>
    <row r="740" spans="1:9" ht="25.5">
      <c r="A740" s="394">
        <v>6</v>
      </c>
      <c r="B740" s="793" t="s">
        <v>923</v>
      </c>
      <c r="C740" s="310" t="s">
        <v>2386</v>
      </c>
      <c r="D740" s="321"/>
      <c r="E740" s="352"/>
      <c r="F740" s="352"/>
      <c r="G740" s="352"/>
      <c r="H740" s="352">
        <v>0</v>
      </c>
    </row>
    <row r="741" spans="1:9" ht="24">
      <c r="A741" s="395">
        <v>7</v>
      </c>
      <c r="B741" s="792">
        <v>325100100100000</v>
      </c>
      <c r="C741" s="313" t="s">
        <v>2387</v>
      </c>
      <c r="D741" s="322"/>
      <c r="E741" s="328">
        <f t="shared" ref="E741:E814" si="11">+F741+G741</f>
        <v>256149.72</v>
      </c>
      <c r="F741" s="347">
        <v>256149.72</v>
      </c>
      <c r="G741" s="347"/>
      <c r="H741" s="328">
        <v>244348.71</v>
      </c>
      <c r="I741" s="210"/>
    </row>
    <row r="742" spans="1:9" ht="24">
      <c r="A742" s="395">
        <v>7</v>
      </c>
      <c r="B742" s="792">
        <v>325100100200000</v>
      </c>
      <c r="C742" s="313" t="s">
        <v>2388</v>
      </c>
      <c r="D742" s="322"/>
      <c r="E742" s="328">
        <f t="shared" si="11"/>
        <v>100982.84</v>
      </c>
      <c r="F742" s="347">
        <v>100982.84</v>
      </c>
      <c r="G742" s="347"/>
      <c r="H742" s="328">
        <v>112655</v>
      </c>
      <c r="I742" s="210"/>
    </row>
    <row r="743" spans="1:9" ht="24">
      <c r="A743" s="395">
        <v>7</v>
      </c>
      <c r="B743" s="792">
        <v>325100100300000</v>
      </c>
      <c r="C743" s="313" t="s">
        <v>2389</v>
      </c>
      <c r="D743" s="322"/>
      <c r="E743" s="328">
        <f t="shared" si="11"/>
        <v>126514</v>
      </c>
      <c r="F743" s="347">
        <v>126514</v>
      </c>
      <c r="G743" s="347"/>
      <c r="H743" s="328">
        <v>68669</v>
      </c>
      <c r="I743" s="210"/>
    </row>
    <row r="744" spans="1:9" ht="24">
      <c r="A744" s="395">
        <v>7</v>
      </c>
      <c r="B744" s="792">
        <v>325100100400000</v>
      </c>
      <c r="C744" s="313" t="s">
        <v>2390</v>
      </c>
      <c r="D744" s="322"/>
      <c r="E744" s="328">
        <f t="shared" si="11"/>
        <v>0</v>
      </c>
      <c r="F744" s="347"/>
      <c r="G744" s="347"/>
      <c r="H744" s="328">
        <v>0</v>
      </c>
      <c r="I744" s="210"/>
    </row>
    <row r="745" spans="1:9" ht="24">
      <c r="A745" s="395">
        <v>7</v>
      </c>
      <c r="B745" s="792">
        <v>325100100500000</v>
      </c>
      <c r="C745" s="313" t="s">
        <v>2391</v>
      </c>
      <c r="D745" s="322"/>
      <c r="E745" s="328">
        <f t="shared" si="11"/>
        <v>0</v>
      </c>
      <c r="F745" s="347"/>
      <c r="G745" s="347"/>
      <c r="H745" s="328">
        <v>0</v>
      </c>
      <c r="I745" s="210"/>
    </row>
    <row r="746" spans="1:9" ht="24">
      <c r="A746" s="395">
        <v>7</v>
      </c>
      <c r="B746" s="792">
        <v>325100100600000</v>
      </c>
      <c r="C746" s="313" t="s">
        <v>2392</v>
      </c>
      <c r="D746" s="322"/>
      <c r="E746" s="328">
        <f t="shared" si="11"/>
        <v>0</v>
      </c>
      <c r="F746" s="347"/>
      <c r="G746" s="347"/>
      <c r="H746" s="328">
        <v>0</v>
      </c>
      <c r="I746" s="210"/>
    </row>
    <row r="747" spans="1:9" ht="24">
      <c r="A747" s="395">
        <v>7</v>
      </c>
      <c r="B747" s="792">
        <v>325100100700000</v>
      </c>
      <c r="C747" s="313" t="s">
        <v>2393</v>
      </c>
      <c r="D747" s="322"/>
      <c r="E747" s="328">
        <f t="shared" si="11"/>
        <v>0</v>
      </c>
      <c r="F747" s="347"/>
      <c r="G747" s="347"/>
      <c r="H747" s="328">
        <v>0</v>
      </c>
      <c r="I747" s="210"/>
    </row>
    <row r="748" spans="1:9" ht="24">
      <c r="A748" s="395">
        <v>7</v>
      </c>
      <c r="B748" s="792">
        <v>325100100900000</v>
      </c>
      <c r="C748" s="313" t="s">
        <v>2394</v>
      </c>
      <c r="D748" s="322"/>
      <c r="E748" s="328">
        <f t="shared" si="11"/>
        <v>132879.49</v>
      </c>
      <c r="F748" s="347">
        <v>132879.49</v>
      </c>
      <c r="G748" s="347"/>
      <c r="H748" s="328">
        <v>118133.66</v>
      </c>
      <c r="I748" s="210"/>
    </row>
    <row r="749" spans="1:9" ht="25.5">
      <c r="A749" s="394">
        <v>6</v>
      </c>
      <c r="B749" s="793" t="s">
        <v>924</v>
      </c>
      <c r="C749" s="310" t="s">
        <v>2395</v>
      </c>
      <c r="D749" s="321"/>
      <c r="E749" s="352"/>
      <c r="F749" s="352"/>
      <c r="G749" s="352"/>
      <c r="H749" s="352">
        <v>0</v>
      </c>
    </row>
    <row r="750" spans="1:9" ht="24">
      <c r="A750" s="395">
        <v>7</v>
      </c>
      <c r="B750" s="792">
        <v>325100200100000</v>
      </c>
      <c r="C750" s="313" t="s">
        <v>2396</v>
      </c>
      <c r="D750" s="322"/>
      <c r="E750" s="328">
        <f t="shared" si="11"/>
        <v>20216.07</v>
      </c>
      <c r="F750" s="347">
        <v>20216.07</v>
      </c>
      <c r="G750" s="347"/>
      <c r="H750" s="328">
        <v>0</v>
      </c>
      <c r="I750" s="210"/>
    </row>
    <row r="751" spans="1:9" ht="24">
      <c r="A751" s="395">
        <v>7</v>
      </c>
      <c r="B751" s="792">
        <v>325100200200000</v>
      </c>
      <c r="C751" s="313" t="s">
        <v>2397</v>
      </c>
      <c r="D751" s="322"/>
      <c r="E751" s="328">
        <f t="shared" si="11"/>
        <v>0</v>
      </c>
      <c r="F751" s="347"/>
      <c r="G751" s="347"/>
      <c r="H751" s="328">
        <v>0</v>
      </c>
      <c r="I751" s="210"/>
    </row>
    <row r="752" spans="1:9" ht="24">
      <c r="A752" s="395">
        <v>7</v>
      </c>
      <c r="B752" s="792">
        <v>325100200300000</v>
      </c>
      <c r="C752" s="313" t="s">
        <v>2398</v>
      </c>
      <c r="D752" s="322"/>
      <c r="E752" s="328">
        <f t="shared" si="11"/>
        <v>4518</v>
      </c>
      <c r="F752" s="347">
        <v>4518</v>
      </c>
      <c r="G752" s="347"/>
      <c r="H752" s="328">
        <v>0</v>
      </c>
      <c r="I752" s="210"/>
    </row>
    <row r="753" spans="1:9" ht="24">
      <c r="A753" s="395">
        <v>7</v>
      </c>
      <c r="B753" s="792">
        <v>325100200400000</v>
      </c>
      <c r="C753" s="313" t="s">
        <v>2399</v>
      </c>
      <c r="D753" s="322"/>
      <c r="E753" s="328">
        <f t="shared" si="11"/>
        <v>0</v>
      </c>
      <c r="F753" s="347"/>
      <c r="G753" s="347"/>
      <c r="H753" s="328">
        <v>0</v>
      </c>
      <c r="I753" s="210"/>
    </row>
    <row r="754" spans="1:9" ht="24">
      <c r="A754" s="395">
        <v>7</v>
      </c>
      <c r="B754" s="792">
        <v>325100200500000</v>
      </c>
      <c r="C754" s="313" t="s">
        <v>2400</v>
      </c>
      <c r="D754" s="322"/>
      <c r="E754" s="328">
        <f t="shared" si="11"/>
        <v>0</v>
      </c>
      <c r="F754" s="347"/>
      <c r="G754" s="347"/>
      <c r="H754" s="328">
        <v>0</v>
      </c>
      <c r="I754" s="210"/>
    </row>
    <row r="755" spans="1:9" ht="24">
      <c r="A755" s="395">
        <v>7</v>
      </c>
      <c r="B755" s="792">
        <v>325100200600000</v>
      </c>
      <c r="C755" s="313" t="s">
        <v>2401</v>
      </c>
      <c r="D755" s="322"/>
      <c r="E755" s="328">
        <f t="shared" si="11"/>
        <v>0</v>
      </c>
      <c r="F755" s="347"/>
      <c r="G755" s="347"/>
      <c r="H755" s="328">
        <v>0</v>
      </c>
      <c r="I755" s="210"/>
    </row>
    <row r="756" spans="1:9" ht="24">
      <c r="A756" s="395">
        <v>7</v>
      </c>
      <c r="B756" s="792">
        <v>325100200700000</v>
      </c>
      <c r="C756" s="313" t="s">
        <v>2402</v>
      </c>
      <c r="D756" s="322"/>
      <c r="E756" s="328">
        <f t="shared" si="11"/>
        <v>0</v>
      </c>
      <c r="F756" s="347"/>
      <c r="G756" s="347"/>
      <c r="H756" s="328">
        <v>0</v>
      </c>
      <c r="I756" s="210"/>
    </row>
    <row r="757" spans="1:9" ht="24">
      <c r="A757" s="395">
        <v>7</v>
      </c>
      <c r="B757" s="792">
        <v>325100200900000</v>
      </c>
      <c r="C757" s="313" t="s">
        <v>2403</v>
      </c>
      <c r="D757" s="322"/>
      <c r="E757" s="328">
        <f t="shared" si="11"/>
        <v>7366.15</v>
      </c>
      <c r="F757" s="347">
        <v>7366.15</v>
      </c>
      <c r="G757" s="347"/>
      <c r="H757" s="328">
        <v>0</v>
      </c>
      <c r="I757" s="210"/>
    </row>
    <row r="758" spans="1:9" ht="25.5">
      <c r="A758" s="394">
        <v>6</v>
      </c>
      <c r="B758" s="793" t="s">
        <v>926</v>
      </c>
      <c r="C758" s="310" t="s">
        <v>1622</v>
      </c>
      <c r="D758" s="321"/>
      <c r="E758" s="352"/>
      <c r="F758" s="352"/>
      <c r="G758" s="352"/>
      <c r="H758" s="352">
        <v>0</v>
      </c>
    </row>
    <row r="759" spans="1:9">
      <c r="A759" s="395">
        <v>7</v>
      </c>
      <c r="B759" s="792">
        <v>325100300000000</v>
      </c>
      <c r="C759" s="313" t="s">
        <v>925</v>
      </c>
      <c r="D759" s="322"/>
      <c r="E759" s="328">
        <f t="shared" si="11"/>
        <v>0</v>
      </c>
      <c r="F759" s="347"/>
      <c r="G759" s="347"/>
      <c r="H759" s="328">
        <v>0</v>
      </c>
      <c r="I759" s="210"/>
    </row>
    <row r="760" spans="1:9">
      <c r="A760" s="394">
        <v>5</v>
      </c>
      <c r="B760" s="793" t="s">
        <v>927</v>
      </c>
      <c r="C760" s="310" t="s">
        <v>1623</v>
      </c>
      <c r="D760" s="321"/>
      <c r="E760" s="352"/>
      <c r="F760" s="352"/>
      <c r="G760" s="352"/>
      <c r="H760" s="352">
        <v>0</v>
      </c>
    </row>
    <row r="761" spans="1:9" ht="25.5">
      <c r="A761" s="394">
        <v>6</v>
      </c>
      <c r="B761" s="793" t="s">
        <v>928</v>
      </c>
      <c r="C761" s="310" t="s">
        <v>2404</v>
      </c>
      <c r="D761" s="321"/>
      <c r="E761" s="352"/>
      <c r="F761" s="352"/>
      <c r="G761" s="352"/>
      <c r="H761" s="352">
        <v>0</v>
      </c>
    </row>
    <row r="762" spans="1:9" ht="24">
      <c r="A762" s="395">
        <v>7</v>
      </c>
      <c r="B762" s="792">
        <v>325200100100000</v>
      </c>
      <c r="C762" s="313" t="s">
        <v>2405</v>
      </c>
      <c r="D762" s="322"/>
      <c r="E762" s="328">
        <f t="shared" si="11"/>
        <v>0</v>
      </c>
      <c r="F762" s="347"/>
      <c r="G762" s="347"/>
      <c r="H762" s="328">
        <v>0</v>
      </c>
      <c r="I762" s="210"/>
    </row>
    <row r="763" spans="1:9" ht="24">
      <c r="A763" s="396">
        <v>7</v>
      </c>
      <c r="B763" s="795">
        <v>3252001002000</v>
      </c>
      <c r="C763" s="316" t="s">
        <v>2406</v>
      </c>
      <c r="D763" s="323"/>
      <c r="E763" s="349"/>
      <c r="F763" s="349"/>
      <c r="G763" s="349"/>
      <c r="H763" s="349">
        <v>0</v>
      </c>
      <c r="I763" s="210"/>
    </row>
    <row r="764" spans="1:9" ht="24">
      <c r="A764" s="395">
        <v>8</v>
      </c>
      <c r="B764" s="792">
        <v>325200100201000</v>
      </c>
      <c r="C764" s="313" t="s">
        <v>2407</v>
      </c>
      <c r="D764" s="322"/>
      <c r="E764" s="328">
        <f t="shared" si="11"/>
        <v>0</v>
      </c>
      <c r="F764" s="347"/>
      <c r="G764" s="347"/>
      <c r="H764" s="328">
        <v>0</v>
      </c>
      <c r="I764" s="210"/>
    </row>
    <row r="765" spans="1:9" ht="24">
      <c r="A765" s="395">
        <v>8</v>
      </c>
      <c r="B765" s="792">
        <v>325200100202000</v>
      </c>
      <c r="C765" s="313" t="s">
        <v>2408</v>
      </c>
      <c r="D765" s="322"/>
      <c r="E765" s="328">
        <f t="shared" si="11"/>
        <v>0</v>
      </c>
      <c r="F765" s="347"/>
      <c r="G765" s="347"/>
      <c r="H765" s="328">
        <v>0</v>
      </c>
      <c r="I765" s="210"/>
    </row>
    <row r="766" spans="1:9">
      <c r="A766" s="395">
        <v>8</v>
      </c>
      <c r="B766" s="792">
        <v>325200100203000</v>
      </c>
      <c r="C766" s="313" t="s">
        <v>2409</v>
      </c>
      <c r="D766" s="322"/>
      <c r="E766" s="328">
        <f t="shared" si="11"/>
        <v>0</v>
      </c>
      <c r="F766" s="347"/>
      <c r="G766" s="347"/>
      <c r="H766" s="328">
        <v>0</v>
      </c>
      <c r="I766" s="210"/>
    </row>
    <row r="767" spans="1:9" ht="24">
      <c r="A767" s="396">
        <v>7</v>
      </c>
      <c r="B767" s="795">
        <v>3252001003000</v>
      </c>
      <c r="C767" s="316" t="s">
        <v>2334</v>
      </c>
      <c r="D767" s="323"/>
      <c r="E767" s="349"/>
      <c r="F767" s="349"/>
      <c r="G767" s="349"/>
      <c r="H767" s="349">
        <v>0</v>
      </c>
      <c r="I767" s="210"/>
    </row>
    <row r="768" spans="1:9" ht="24">
      <c r="A768" s="395">
        <v>8</v>
      </c>
      <c r="B768" s="792">
        <v>325200100301000</v>
      </c>
      <c r="C768" s="313" t="s">
        <v>2410</v>
      </c>
      <c r="D768" s="322"/>
      <c r="E768" s="328">
        <f t="shared" si="11"/>
        <v>0</v>
      </c>
      <c r="F768" s="347"/>
      <c r="G768" s="347"/>
      <c r="H768" s="328">
        <v>0</v>
      </c>
      <c r="I768" s="210"/>
    </row>
    <row r="769" spans="1:9" ht="24">
      <c r="A769" s="395">
        <v>8</v>
      </c>
      <c r="B769" s="792">
        <v>325200100302000</v>
      </c>
      <c r="C769" s="313" t="s">
        <v>2411</v>
      </c>
      <c r="D769" s="322"/>
      <c r="E769" s="328">
        <f t="shared" si="11"/>
        <v>0</v>
      </c>
      <c r="F769" s="347"/>
      <c r="G769" s="347"/>
      <c r="H769" s="328">
        <v>0</v>
      </c>
      <c r="I769" s="210"/>
    </row>
    <row r="770" spans="1:9" ht="24">
      <c r="A770" s="395">
        <v>8</v>
      </c>
      <c r="B770" s="792">
        <v>325200100303000</v>
      </c>
      <c r="C770" s="313" t="s">
        <v>2412</v>
      </c>
      <c r="D770" s="322"/>
      <c r="E770" s="328">
        <f t="shared" si="11"/>
        <v>0</v>
      </c>
      <c r="F770" s="347"/>
      <c r="G770" s="347"/>
      <c r="H770" s="328">
        <v>0</v>
      </c>
      <c r="I770" s="210"/>
    </row>
    <row r="771" spans="1:9" ht="24">
      <c r="A771" s="395">
        <v>7</v>
      </c>
      <c r="B771" s="792">
        <v>325200100400000</v>
      </c>
      <c r="C771" s="313" t="s">
        <v>2413</v>
      </c>
      <c r="D771" s="322"/>
      <c r="E771" s="328">
        <f t="shared" si="11"/>
        <v>0</v>
      </c>
      <c r="F771" s="347"/>
      <c r="G771" s="347"/>
      <c r="H771" s="328">
        <v>0</v>
      </c>
      <c r="I771" s="210"/>
    </row>
    <row r="772" spans="1:9" ht="24">
      <c r="A772" s="395">
        <v>7</v>
      </c>
      <c r="B772" s="792">
        <v>325200100500000</v>
      </c>
      <c r="C772" s="313" t="s">
        <v>2414</v>
      </c>
      <c r="D772" s="322"/>
      <c r="E772" s="328">
        <f t="shared" si="11"/>
        <v>0</v>
      </c>
      <c r="F772" s="347"/>
      <c r="G772" s="347"/>
      <c r="H772" s="328">
        <v>0</v>
      </c>
      <c r="I772" s="210"/>
    </row>
    <row r="773" spans="1:9" ht="24">
      <c r="A773" s="395">
        <v>7</v>
      </c>
      <c r="B773" s="792">
        <v>325200100600000</v>
      </c>
      <c r="C773" s="313" t="s">
        <v>2415</v>
      </c>
      <c r="D773" s="322"/>
      <c r="E773" s="328">
        <f t="shared" si="11"/>
        <v>0</v>
      </c>
      <c r="F773" s="347"/>
      <c r="G773" s="347"/>
      <c r="H773" s="328">
        <v>0</v>
      </c>
      <c r="I773" s="210"/>
    </row>
    <row r="774" spans="1:9" ht="24">
      <c r="A774" s="395">
        <v>7</v>
      </c>
      <c r="B774" s="792">
        <v>325200100900000</v>
      </c>
      <c r="C774" s="313" t="s">
        <v>2416</v>
      </c>
      <c r="D774" s="322"/>
      <c r="E774" s="328">
        <f t="shared" si="11"/>
        <v>0</v>
      </c>
      <c r="F774" s="347"/>
      <c r="G774" s="347"/>
      <c r="H774" s="328">
        <v>0</v>
      </c>
      <c r="I774" s="210"/>
    </row>
    <row r="775" spans="1:9" ht="25.5">
      <c r="A775" s="394">
        <v>6</v>
      </c>
      <c r="B775" s="793" t="s">
        <v>929</v>
      </c>
      <c r="C775" s="310" t="s">
        <v>2417</v>
      </c>
      <c r="D775" s="321"/>
      <c r="E775" s="352"/>
      <c r="F775" s="352"/>
      <c r="G775" s="352"/>
      <c r="H775" s="352">
        <v>0</v>
      </c>
    </row>
    <row r="776" spans="1:9" ht="24">
      <c r="A776" s="395">
        <v>7</v>
      </c>
      <c r="B776" s="792">
        <v>325200200100000</v>
      </c>
      <c r="C776" s="313" t="s">
        <v>2418</v>
      </c>
      <c r="D776" s="322"/>
      <c r="E776" s="328">
        <f t="shared" si="11"/>
        <v>9886.49</v>
      </c>
      <c r="F776" s="347">
        <v>9886.49</v>
      </c>
      <c r="G776" s="347"/>
      <c r="H776" s="328">
        <v>0</v>
      </c>
      <c r="I776" s="210"/>
    </row>
    <row r="777" spans="1:9" ht="24">
      <c r="A777" s="396">
        <v>7</v>
      </c>
      <c r="B777" s="795">
        <v>3252002002000</v>
      </c>
      <c r="C777" s="316" t="s">
        <v>2419</v>
      </c>
      <c r="D777" s="323"/>
      <c r="E777" s="349"/>
      <c r="F777" s="349"/>
      <c r="G777" s="349"/>
      <c r="H777" s="349">
        <v>0</v>
      </c>
      <c r="I777" s="210"/>
    </row>
    <row r="778" spans="1:9" ht="24">
      <c r="A778" s="395">
        <v>8</v>
      </c>
      <c r="B778" s="792">
        <v>325200200201000</v>
      </c>
      <c r="C778" s="313" t="s">
        <v>2420</v>
      </c>
      <c r="D778" s="322"/>
      <c r="E778" s="328">
        <f t="shared" si="11"/>
        <v>0</v>
      </c>
      <c r="F778" s="347"/>
      <c r="G778" s="347"/>
      <c r="H778" s="328">
        <v>0</v>
      </c>
      <c r="I778" s="210"/>
    </row>
    <row r="779" spans="1:9" ht="24">
      <c r="A779" s="395">
        <v>8</v>
      </c>
      <c r="B779" s="792">
        <v>325200200202000</v>
      </c>
      <c r="C779" s="313" t="s">
        <v>2421</v>
      </c>
      <c r="D779" s="322"/>
      <c r="E779" s="328">
        <f t="shared" si="11"/>
        <v>0</v>
      </c>
      <c r="F779" s="347"/>
      <c r="G779" s="347"/>
      <c r="H779" s="328">
        <v>0</v>
      </c>
      <c r="I779" s="210"/>
    </row>
    <row r="780" spans="1:9">
      <c r="A780" s="395">
        <v>8</v>
      </c>
      <c r="B780" s="792">
        <v>325200200203000</v>
      </c>
      <c r="C780" s="313" t="s">
        <v>2422</v>
      </c>
      <c r="D780" s="322"/>
      <c r="E780" s="328">
        <f t="shared" si="11"/>
        <v>4282</v>
      </c>
      <c r="F780" s="347">
        <v>4282</v>
      </c>
      <c r="G780" s="347"/>
      <c r="H780" s="328">
        <v>0</v>
      </c>
      <c r="I780" s="210"/>
    </row>
    <row r="781" spans="1:9" ht="24">
      <c r="A781" s="396">
        <v>7</v>
      </c>
      <c r="B781" s="795">
        <v>3252002003000</v>
      </c>
      <c r="C781" s="316" t="s">
        <v>2349</v>
      </c>
      <c r="D781" s="323"/>
      <c r="E781" s="349"/>
      <c r="F781" s="349"/>
      <c r="G781" s="349"/>
      <c r="H781" s="349">
        <v>0</v>
      </c>
      <c r="I781" s="210"/>
    </row>
    <row r="782" spans="1:9" ht="24">
      <c r="A782" s="395">
        <v>8</v>
      </c>
      <c r="B782" s="792">
        <v>325200200301000</v>
      </c>
      <c r="C782" s="313" t="s">
        <v>2423</v>
      </c>
      <c r="D782" s="322"/>
      <c r="E782" s="328">
        <f t="shared" si="11"/>
        <v>384.6</v>
      </c>
      <c r="F782" s="347">
        <v>384.6</v>
      </c>
      <c r="G782" s="347"/>
      <c r="H782" s="328">
        <v>0</v>
      </c>
      <c r="I782" s="210"/>
    </row>
    <row r="783" spans="1:9" ht="24">
      <c r="A783" s="395">
        <v>8</v>
      </c>
      <c r="B783" s="792">
        <v>325200200302000</v>
      </c>
      <c r="C783" s="313" t="s">
        <v>2424</v>
      </c>
      <c r="D783" s="322"/>
      <c r="E783" s="328">
        <f t="shared" si="11"/>
        <v>0</v>
      </c>
      <c r="F783" s="347"/>
      <c r="G783" s="347"/>
      <c r="H783" s="328">
        <v>0</v>
      </c>
      <c r="I783" s="210"/>
    </row>
    <row r="784" spans="1:9" ht="24">
      <c r="A784" s="395">
        <v>8</v>
      </c>
      <c r="B784" s="792">
        <v>325200200303000</v>
      </c>
      <c r="C784" s="313" t="s">
        <v>2425</v>
      </c>
      <c r="D784" s="322"/>
      <c r="E784" s="328">
        <f t="shared" si="11"/>
        <v>0</v>
      </c>
      <c r="F784" s="347"/>
      <c r="G784" s="347"/>
      <c r="H784" s="328">
        <v>0</v>
      </c>
      <c r="I784" s="210"/>
    </row>
    <row r="785" spans="1:9" ht="24">
      <c r="A785" s="395">
        <v>7</v>
      </c>
      <c r="B785" s="792">
        <v>325200200400000</v>
      </c>
      <c r="C785" s="313" t="s">
        <v>2426</v>
      </c>
      <c r="D785" s="322"/>
      <c r="E785" s="328">
        <f t="shared" si="11"/>
        <v>0</v>
      </c>
      <c r="F785" s="347"/>
      <c r="G785" s="347"/>
      <c r="H785" s="328">
        <v>0</v>
      </c>
      <c r="I785" s="210"/>
    </row>
    <row r="786" spans="1:9" ht="24">
      <c r="A786" s="395">
        <v>7</v>
      </c>
      <c r="B786" s="792">
        <v>325200200500000</v>
      </c>
      <c r="C786" s="313" t="s">
        <v>2427</v>
      </c>
      <c r="D786" s="322"/>
      <c r="E786" s="328">
        <f t="shared" si="11"/>
        <v>0</v>
      </c>
      <c r="F786" s="347"/>
      <c r="G786" s="347"/>
      <c r="H786" s="328">
        <v>0</v>
      </c>
      <c r="I786" s="210"/>
    </row>
    <row r="787" spans="1:9" ht="24">
      <c r="A787" s="395">
        <v>7</v>
      </c>
      <c r="B787" s="792">
        <v>325200200600000</v>
      </c>
      <c r="C787" s="313" t="s">
        <v>2428</v>
      </c>
      <c r="D787" s="322"/>
      <c r="E787" s="328">
        <f t="shared" si="11"/>
        <v>0</v>
      </c>
      <c r="F787" s="347"/>
      <c r="G787" s="347"/>
      <c r="H787" s="328">
        <v>0</v>
      </c>
      <c r="I787" s="210"/>
    </row>
    <row r="788" spans="1:9" ht="24">
      <c r="A788" s="395">
        <v>7</v>
      </c>
      <c r="B788" s="792">
        <v>325200200900000</v>
      </c>
      <c r="C788" s="313" t="s">
        <v>2429</v>
      </c>
      <c r="D788" s="322"/>
      <c r="E788" s="328">
        <f t="shared" si="11"/>
        <v>4190.09</v>
      </c>
      <c r="F788" s="347">
        <v>4190.09</v>
      </c>
      <c r="G788" s="347"/>
      <c r="H788" s="328">
        <v>0</v>
      </c>
      <c r="I788" s="210"/>
    </row>
    <row r="789" spans="1:9" ht="25.5">
      <c r="A789" s="394">
        <v>6</v>
      </c>
      <c r="B789" s="793" t="s">
        <v>931</v>
      </c>
      <c r="C789" s="310" t="s">
        <v>1626</v>
      </c>
      <c r="D789" s="321"/>
      <c r="E789" s="352"/>
      <c r="F789" s="352"/>
      <c r="G789" s="352"/>
      <c r="H789" s="352">
        <v>0</v>
      </c>
    </row>
    <row r="790" spans="1:9">
      <c r="A790" s="395">
        <v>7</v>
      </c>
      <c r="B790" s="792">
        <v>325200300000000</v>
      </c>
      <c r="C790" s="313" t="s">
        <v>930</v>
      </c>
      <c r="D790" s="322"/>
      <c r="E790" s="328">
        <f t="shared" si="11"/>
        <v>0</v>
      </c>
      <c r="F790" s="347"/>
      <c r="G790" s="347"/>
      <c r="H790" s="328">
        <v>0</v>
      </c>
      <c r="I790" s="210"/>
    </row>
    <row r="791" spans="1:9">
      <c r="A791" s="394">
        <v>4</v>
      </c>
      <c r="B791" s="793" t="s">
        <v>932</v>
      </c>
      <c r="C791" s="310" t="s">
        <v>2430</v>
      </c>
      <c r="D791" s="321"/>
      <c r="E791" s="352"/>
      <c r="F791" s="352"/>
      <c r="G791" s="352"/>
      <c r="H791" s="352">
        <v>0</v>
      </c>
    </row>
    <row r="792" spans="1:9">
      <c r="A792" s="394">
        <v>5</v>
      </c>
      <c r="B792" s="793" t="s">
        <v>933</v>
      </c>
      <c r="C792" s="310" t="s">
        <v>1628</v>
      </c>
      <c r="D792" s="321"/>
      <c r="E792" s="352"/>
      <c r="F792" s="352"/>
      <c r="G792" s="352"/>
      <c r="H792" s="352">
        <v>0</v>
      </c>
    </row>
    <row r="793" spans="1:9" ht="25.5">
      <c r="A793" s="394">
        <v>6</v>
      </c>
      <c r="B793" s="793" t="s">
        <v>934</v>
      </c>
      <c r="C793" s="310" t="s">
        <v>1629</v>
      </c>
      <c r="D793" s="321"/>
      <c r="E793" s="352"/>
      <c r="F793" s="352"/>
      <c r="G793" s="352"/>
      <c r="H793" s="352">
        <v>0</v>
      </c>
    </row>
    <row r="794" spans="1:9" ht="24">
      <c r="A794" s="396">
        <v>7</v>
      </c>
      <c r="B794" s="795">
        <v>3301001000000</v>
      </c>
      <c r="C794" s="316" t="s">
        <v>2631</v>
      </c>
      <c r="D794" s="323"/>
      <c r="E794" s="349"/>
      <c r="F794" s="349"/>
      <c r="G794" s="349"/>
      <c r="H794" s="349"/>
      <c r="I794" s="210"/>
    </row>
    <row r="795" spans="1:9" ht="24">
      <c r="A795" s="395">
        <v>8</v>
      </c>
      <c r="B795" s="792">
        <v>330100100100000</v>
      </c>
      <c r="C795" s="313" t="s">
        <v>2431</v>
      </c>
      <c r="D795" s="322"/>
      <c r="E795" s="328">
        <f t="shared" si="11"/>
        <v>133913.85</v>
      </c>
      <c r="F795" s="347">
        <v>133913.85</v>
      </c>
      <c r="G795" s="347"/>
      <c r="H795" s="328">
        <v>135353.84</v>
      </c>
      <c r="I795" s="210"/>
    </row>
    <row r="796" spans="1:9" ht="24">
      <c r="A796" s="395">
        <v>8</v>
      </c>
      <c r="B796" s="792">
        <v>330100100200000</v>
      </c>
      <c r="C796" s="313" t="s">
        <v>2432</v>
      </c>
      <c r="D796" s="322"/>
      <c r="E796" s="328">
        <f t="shared" si="11"/>
        <v>48467.51</v>
      </c>
      <c r="F796" s="347">
        <v>48467.51</v>
      </c>
      <c r="G796" s="347"/>
      <c r="H796" s="328">
        <v>58580</v>
      </c>
      <c r="I796" s="210"/>
    </row>
    <row r="797" spans="1:9" ht="24">
      <c r="A797" s="395">
        <v>8</v>
      </c>
      <c r="B797" s="792">
        <v>330100100300000</v>
      </c>
      <c r="C797" s="313" t="s">
        <v>2433</v>
      </c>
      <c r="D797" s="322"/>
      <c r="E797" s="328">
        <f t="shared" si="11"/>
        <v>67775</v>
      </c>
      <c r="F797" s="347">
        <v>67775</v>
      </c>
      <c r="G797" s="347"/>
      <c r="H797" s="328">
        <v>35708</v>
      </c>
      <c r="I797" s="210"/>
    </row>
    <row r="798" spans="1:9" ht="24">
      <c r="A798" s="395">
        <v>8</v>
      </c>
      <c r="B798" s="792">
        <v>330100100400000</v>
      </c>
      <c r="C798" s="313" t="s">
        <v>2434</v>
      </c>
      <c r="D798" s="322"/>
      <c r="E798" s="328">
        <f t="shared" si="11"/>
        <v>0</v>
      </c>
      <c r="F798" s="347"/>
      <c r="G798" s="347"/>
      <c r="H798" s="328">
        <v>0</v>
      </c>
      <c r="I798" s="210"/>
    </row>
    <row r="799" spans="1:9" ht="24">
      <c r="A799" s="395">
        <v>8</v>
      </c>
      <c r="B799" s="792">
        <v>330100100500000</v>
      </c>
      <c r="C799" s="313" t="s">
        <v>2435</v>
      </c>
      <c r="D799" s="322"/>
      <c r="E799" s="328">
        <f t="shared" si="11"/>
        <v>0</v>
      </c>
      <c r="F799" s="347"/>
      <c r="G799" s="347"/>
      <c r="H799" s="328">
        <v>0</v>
      </c>
      <c r="I799" s="210"/>
    </row>
    <row r="800" spans="1:9" ht="24">
      <c r="A800" s="395">
        <v>8</v>
      </c>
      <c r="B800" s="792">
        <v>330100100600000</v>
      </c>
      <c r="C800" s="313" t="s">
        <v>2436</v>
      </c>
      <c r="D800" s="322"/>
      <c r="E800" s="328">
        <f t="shared" si="11"/>
        <v>0</v>
      </c>
      <c r="F800" s="347"/>
      <c r="G800" s="347"/>
      <c r="H800" s="328">
        <v>0</v>
      </c>
      <c r="I800" s="210"/>
    </row>
    <row r="801" spans="1:9" ht="24">
      <c r="A801" s="395">
        <v>8</v>
      </c>
      <c r="B801" s="792">
        <v>330100100700000</v>
      </c>
      <c r="C801" s="313" t="s">
        <v>2437</v>
      </c>
      <c r="D801" s="322"/>
      <c r="E801" s="328">
        <f t="shared" si="11"/>
        <v>0</v>
      </c>
      <c r="F801" s="347"/>
      <c r="G801" s="347"/>
      <c r="H801" s="328">
        <v>0</v>
      </c>
      <c r="I801" s="210"/>
    </row>
    <row r="802" spans="1:9" ht="24">
      <c r="A802" s="395">
        <v>8</v>
      </c>
      <c r="B802" s="792">
        <v>330100100900000</v>
      </c>
      <c r="C802" s="313" t="s">
        <v>2438</v>
      </c>
      <c r="D802" s="322"/>
      <c r="E802" s="328">
        <f t="shared" si="11"/>
        <v>70518.39</v>
      </c>
      <c r="F802" s="347">
        <v>70518.39</v>
      </c>
      <c r="G802" s="347"/>
      <c r="H802" s="328">
        <v>66413.820000000007</v>
      </c>
      <c r="I802" s="210"/>
    </row>
    <row r="803" spans="1:9" ht="24">
      <c r="A803" s="396">
        <v>7</v>
      </c>
      <c r="B803" s="795">
        <v>3301001010000</v>
      </c>
      <c r="C803" s="316" t="s">
        <v>2632</v>
      </c>
      <c r="D803" s="323"/>
      <c r="E803" s="349"/>
      <c r="F803" s="349"/>
      <c r="G803" s="349"/>
      <c r="H803" s="349"/>
      <c r="I803" s="210"/>
    </row>
    <row r="804" spans="1:9" ht="24">
      <c r="A804" s="395">
        <v>8</v>
      </c>
      <c r="B804" s="792">
        <v>330100101100000</v>
      </c>
      <c r="C804" s="313" t="s">
        <v>2633</v>
      </c>
      <c r="D804" s="322"/>
      <c r="E804" s="328">
        <f t="shared" ref="E804:E811" si="12">+F804+G804</f>
        <v>0</v>
      </c>
      <c r="F804" s="347"/>
      <c r="G804" s="347"/>
      <c r="H804" s="328"/>
      <c r="I804" s="210"/>
    </row>
    <row r="805" spans="1:9" ht="24">
      <c r="A805" s="395">
        <v>8</v>
      </c>
      <c r="B805" s="792">
        <v>330100101200000</v>
      </c>
      <c r="C805" s="313" t="s">
        <v>2652</v>
      </c>
      <c r="D805" s="322"/>
      <c r="E805" s="328">
        <f t="shared" si="12"/>
        <v>0</v>
      </c>
      <c r="F805" s="347"/>
      <c r="G805" s="347"/>
      <c r="H805" s="328"/>
      <c r="I805" s="210"/>
    </row>
    <row r="806" spans="1:9" ht="24">
      <c r="A806" s="395">
        <v>8</v>
      </c>
      <c r="B806" s="792">
        <v>330100101300000</v>
      </c>
      <c r="C806" s="313" t="s">
        <v>2634</v>
      </c>
      <c r="D806" s="322"/>
      <c r="E806" s="328">
        <f t="shared" si="12"/>
        <v>0</v>
      </c>
      <c r="F806" s="347"/>
      <c r="G806" s="347"/>
      <c r="H806" s="328"/>
      <c r="I806" s="210"/>
    </row>
    <row r="807" spans="1:9" ht="24">
      <c r="A807" s="395">
        <v>8</v>
      </c>
      <c r="B807" s="792">
        <v>330100101400000</v>
      </c>
      <c r="C807" s="313" t="s">
        <v>2635</v>
      </c>
      <c r="D807" s="322"/>
      <c r="E807" s="328">
        <f t="shared" si="12"/>
        <v>0</v>
      </c>
      <c r="F807" s="347"/>
      <c r="G807" s="347"/>
      <c r="H807" s="328"/>
      <c r="I807" s="210"/>
    </row>
    <row r="808" spans="1:9" ht="24">
      <c r="A808" s="395">
        <v>8</v>
      </c>
      <c r="B808" s="792">
        <v>330100101500000</v>
      </c>
      <c r="C808" s="313" t="s">
        <v>2636</v>
      </c>
      <c r="D808" s="322"/>
      <c r="E808" s="328">
        <f t="shared" si="12"/>
        <v>0</v>
      </c>
      <c r="F808" s="347"/>
      <c r="G808" s="347"/>
      <c r="H808" s="328"/>
      <c r="I808" s="210"/>
    </row>
    <row r="809" spans="1:9" ht="24">
      <c r="A809" s="395">
        <v>8</v>
      </c>
      <c r="B809" s="792">
        <v>330100101600000</v>
      </c>
      <c r="C809" s="313" t="s">
        <v>2637</v>
      </c>
      <c r="D809" s="322"/>
      <c r="E809" s="328">
        <f t="shared" si="12"/>
        <v>0</v>
      </c>
      <c r="F809" s="347"/>
      <c r="G809" s="347"/>
      <c r="H809" s="328"/>
      <c r="I809" s="210"/>
    </row>
    <row r="810" spans="1:9" ht="24">
      <c r="A810" s="395">
        <v>8</v>
      </c>
      <c r="B810" s="792">
        <v>330100101700000</v>
      </c>
      <c r="C810" s="313" t="s">
        <v>2638</v>
      </c>
      <c r="D810" s="322"/>
      <c r="E810" s="328">
        <f t="shared" si="12"/>
        <v>0</v>
      </c>
      <c r="F810" s="347"/>
      <c r="G810" s="347"/>
      <c r="H810" s="328"/>
      <c r="I810" s="210"/>
    </row>
    <row r="811" spans="1:9" ht="24">
      <c r="A811" s="395">
        <v>8</v>
      </c>
      <c r="B811" s="792">
        <v>330100101900000</v>
      </c>
      <c r="C811" s="313" t="s">
        <v>2639</v>
      </c>
      <c r="D811" s="322"/>
      <c r="E811" s="328">
        <f t="shared" si="12"/>
        <v>0</v>
      </c>
      <c r="F811" s="347"/>
      <c r="G811" s="347"/>
      <c r="H811" s="328"/>
      <c r="I811" s="210"/>
    </row>
    <row r="812" spans="1:9" ht="25.5">
      <c r="A812" s="394">
        <v>6</v>
      </c>
      <c r="B812" s="793" t="s">
        <v>935</v>
      </c>
      <c r="C812" s="310" t="s">
        <v>1630</v>
      </c>
      <c r="D812" s="321"/>
      <c r="E812" s="352"/>
      <c r="F812" s="352"/>
      <c r="G812" s="352"/>
      <c r="H812" s="352">
        <v>0</v>
      </c>
    </row>
    <row r="813" spans="1:9" ht="24">
      <c r="A813" s="396">
        <v>7</v>
      </c>
      <c r="B813" s="795">
        <v>3301002000000</v>
      </c>
      <c r="C813" s="316" t="s">
        <v>2640</v>
      </c>
      <c r="D813" s="323"/>
      <c r="E813" s="349"/>
      <c r="F813" s="349"/>
      <c r="G813" s="349"/>
      <c r="H813" s="349"/>
      <c r="I813" s="210"/>
    </row>
    <row r="814" spans="1:9" ht="24">
      <c r="A814" s="395">
        <v>8</v>
      </c>
      <c r="B814" s="792">
        <v>330100200100000</v>
      </c>
      <c r="C814" s="313" t="s">
        <v>2439</v>
      </c>
      <c r="D814" s="322"/>
      <c r="E814" s="328">
        <f t="shared" si="11"/>
        <v>0</v>
      </c>
      <c r="F814" s="347"/>
      <c r="G814" s="347"/>
      <c r="H814" s="328">
        <v>0</v>
      </c>
      <c r="I814" s="210"/>
    </row>
    <row r="815" spans="1:9" ht="24">
      <c r="A815" s="395">
        <v>8</v>
      </c>
      <c r="B815" s="792">
        <v>330100200200000</v>
      </c>
      <c r="C815" s="313" t="s">
        <v>2440</v>
      </c>
      <c r="D815" s="322"/>
      <c r="E815" s="328">
        <f t="shared" ref="E815:E888" si="13">+F815+G815</f>
        <v>0</v>
      </c>
      <c r="F815" s="347"/>
      <c r="G815" s="347"/>
      <c r="H815" s="328">
        <v>0</v>
      </c>
      <c r="I815" s="210"/>
    </row>
    <row r="816" spans="1:9" ht="24">
      <c r="A816" s="395">
        <v>8</v>
      </c>
      <c r="B816" s="792">
        <v>330100200300000</v>
      </c>
      <c r="C816" s="313" t="s">
        <v>2441</v>
      </c>
      <c r="D816" s="322"/>
      <c r="E816" s="328">
        <f t="shared" si="13"/>
        <v>0</v>
      </c>
      <c r="F816" s="347"/>
      <c r="G816" s="347"/>
      <c r="H816" s="328">
        <v>0</v>
      </c>
      <c r="I816" s="210"/>
    </row>
    <row r="817" spans="1:9" ht="24">
      <c r="A817" s="395">
        <v>8</v>
      </c>
      <c r="B817" s="792">
        <v>330100200400000</v>
      </c>
      <c r="C817" s="313" t="s">
        <v>2442</v>
      </c>
      <c r="D817" s="322"/>
      <c r="E817" s="328">
        <f t="shared" si="13"/>
        <v>0</v>
      </c>
      <c r="F817" s="347"/>
      <c r="G817" s="347"/>
      <c r="H817" s="328">
        <v>0</v>
      </c>
      <c r="I817" s="210"/>
    </row>
    <row r="818" spans="1:9" ht="24">
      <c r="A818" s="395">
        <v>8</v>
      </c>
      <c r="B818" s="792">
        <v>330100200500000</v>
      </c>
      <c r="C818" s="313" t="s">
        <v>2443</v>
      </c>
      <c r="D818" s="322"/>
      <c r="E818" s="328">
        <f t="shared" si="13"/>
        <v>0</v>
      </c>
      <c r="F818" s="347"/>
      <c r="G818" s="347"/>
      <c r="H818" s="328">
        <v>0</v>
      </c>
      <c r="I818" s="210"/>
    </row>
    <row r="819" spans="1:9" ht="24">
      <c r="A819" s="395">
        <v>8</v>
      </c>
      <c r="B819" s="792">
        <v>330100200600000</v>
      </c>
      <c r="C819" s="313" t="s">
        <v>2444</v>
      </c>
      <c r="D819" s="322"/>
      <c r="E819" s="328">
        <f t="shared" si="13"/>
        <v>0</v>
      </c>
      <c r="F819" s="347"/>
      <c r="G819" s="347"/>
      <c r="H819" s="328">
        <v>0</v>
      </c>
      <c r="I819" s="210"/>
    </row>
    <row r="820" spans="1:9" ht="24">
      <c r="A820" s="395">
        <v>8</v>
      </c>
      <c r="B820" s="792">
        <v>330100200700000</v>
      </c>
      <c r="C820" s="313" t="s">
        <v>2445</v>
      </c>
      <c r="D820" s="322"/>
      <c r="E820" s="328">
        <f t="shared" si="13"/>
        <v>0</v>
      </c>
      <c r="F820" s="347"/>
      <c r="G820" s="347"/>
      <c r="H820" s="328">
        <v>0</v>
      </c>
      <c r="I820" s="210"/>
    </row>
    <row r="821" spans="1:9" ht="24">
      <c r="A821" s="395">
        <v>8</v>
      </c>
      <c r="B821" s="792">
        <v>330100200900000</v>
      </c>
      <c r="C821" s="313" t="s">
        <v>2446</v>
      </c>
      <c r="D821" s="322"/>
      <c r="E821" s="328">
        <f t="shared" si="13"/>
        <v>0</v>
      </c>
      <c r="F821" s="347"/>
      <c r="G821" s="347"/>
      <c r="H821" s="328">
        <v>0</v>
      </c>
      <c r="I821" s="210"/>
    </row>
    <row r="822" spans="1:9" ht="24">
      <c r="A822" s="396">
        <v>7</v>
      </c>
      <c r="B822" s="795">
        <v>3301002010000</v>
      </c>
      <c r="C822" s="316" t="s">
        <v>2641</v>
      </c>
      <c r="D822" s="323"/>
      <c r="E822" s="349"/>
      <c r="F822" s="349"/>
      <c r="G822" s="349"/>
      <c r="H822" s="349"/>
      <c r="I822" s="210"/>
    </row>
    <row r="823" spans="1:9" ht="24">
      <c r="A823" s="395">
        <v>8</v>
      </c>
      <c r="B823" s="792">
        <v>330100201100000</v>
      </c>
      <c r="C823" s="313" t="s">
        <v>2642</v>
      </c>
      <c r="D823" s="322"/>
      <c r="E823" s="328">
        <f t="shared" ref="E823:E830" si="14">+F823+G823</f>
        <v>0</v>
      </c>
      <c r="F823" s="347"/>
      <c r="G823" s="347"/>
      <c r="H823" s="328"/>
      <c r="I823" s="210"/>
    </row>
    <row r="824" spans="1:9" ht="24">
      <c r="A824" s="395">
        <v>8</v>
      </c>
      <c r="B824" s="792">
        <v>330100201200000</v>
      </c>
      <c r="C824" s="313" t="s">
        <v>2643</v>
      </c>
      <c r="D824" s="322"/>
      <c r="E824" s="328">
        <f t="shared" si="14"/>
        <v>0</v>
      </c>
      <c r="F824" s="347"/>
      <c r="G824" s="347"/>
      <c r="H824" s="328"/>
      <c r="I824" s="210"/>
    </row>
    <row r="825" spans="1:9" ht="24">
      <c r="A825" s="395">
        <v>8</v>
      </c>
      <c r="B825" s="792">
        <v>330100201300000</v>
      </c>
      <c r="C825" s="313" t="s">
        <v>2644</v>
      </c>
      <c r="D825" s="322"/>
      <c r="E825" s="328">
        <f t="shared" si="14"/>
        <v>0</v>
      </c>
      <c r="F825" s="347"/>
      <c r="G825" s="347"/>
      <c r="H825" s="328"/>
      <c r="I825" s="210"/>
    </row>
    <row r="826" spans="1:9" ht="24">
      <c r="A826" s="395">
        <v>8</v>
      </c>
      <c r="B826" s="792">
        <v>330100201400000</v>
      </c>
      <c r="C826" s="313" t="s">
        <v>2645</v>
      </c>
      <c r="D826" s="322"/>
      <c r="E826" s="328">
        <f t="shared" si="14"/>
        <v>0</v>
      </c>
      <c r="F826" s="347"/>
      <c r="G826" s="347"/>
      <c r="H826" s="328"/>
      <c r="I826" s="210"/>
    </row>
    <row r="827" spans="1:9" ht="24">
      <c r="A827" s="395">
        <v>8</v>
      </c>
      <c r="B827" s="792">
        <v>330100201500000</v>
      </c>
      <c r="C827" s="313" t="s">
        <v>2646</v>
      </c>
      <c r="D827" s="322"/>
      <c r="E827" s="328">
        <f t="shared" si="14"/>
        <v>0</v>
      </c>
      <c r="F827" s="347"/>
      <c r="G827" s="347"/>
      <c r="H827" s="328"/>
      <c r="I827" s="210"/>
    </row>
    <row r="828" spans="1:9" ht="24">
      <c r="A828" s="395">
        <v>8</v>
      </c>
      <c r="B828" s="792">
        <v>330100201600000</v>
      </c>
      <c r="C828" s="313" t="s">
        <v>2647</v>
      </c>
      <c r="D828" s="322"/>
      <c r="E828" s="328">
        <f t="shared" si="14"/>
        <v>0</v>
      </c>
      <c r="F828" s="347"/>
      <c r="G828" s="347"/>
      <c r="H828" s="328"/>
      <c r="I828" s="210"/>
    </row>
    <row r="829" spans="1:9" ht="24">
      <c r="A829" s="395">
        <v>8</v>
      </c>
      <c r="B829" s="792">
        <v>330100201700000</v>
      </c>
      <c r="C829" s="313" t="s">
        <v>2648</v>
      </c>
      <c r="D829" s="322"/>
      <c r="E829" s="328">
        <f t="shared" si="14"/>
        <v>0</v>
      </c>
      <c r="F829" s="347"/>
      <c r="G829" s="347"/>
      <c r="H829" s="328"/>
      <c r="I829" s="210"/>
    </row>
    <row r="830" spans="1:9" ht="24">
      <c r="A830" s="395">
        <v>8</v>
      </c>
      <c r="B830" s="792">
        <v>330100201900000</v>
      </c>
      <c r="C830" s="313" t="s">
        <v>2649</v>
      </c>
      <c r="D830" s="322"/>
      <c r="E830" s="328">
        <f t="shared" si="14"/>
        <v>0</v>
      </c>
      <c r="F830" s="347"/>
      <c r="G830" s="347"/>
      <c r="H830" s="328"/>
      <c r="I830" s="210"/>
    </row>
    <row r="831" spans="1:9">
      <c r="A831" s="394">
        <v>6</v>
      </c>
      <c r="B831" s="793" t="s">
        <v>937</v>
      </c>
      <c r="C831" s="310" t="s">
        <v>1631</v>
      </c>
      <c r="D831" s="321"/>
      <c r="E831" s="352"/>
      <c r="F831" s="352"/>
      <c r="G831" s="352"/>
      <c r="H831" s="352">
        <v>0</v>
      </c>
    </row>
    <row r="832" spans="1:9">
      <c r="A832" s="395">
        <v>7</v>
      </c>
      <c r="B832" s="792">
        <v>330100300000000</v>
      </c>
      <c r="C832" s="313" t="s">
        <v>936</v>
      </c>
      <c r="D832" s="322"/>
      <c r="E832" s="328">
        <f t="shared" si="13"/>
        <v>0</v>
      </c>
      <c r="F832" s="347"/>
      <c r="G832" s="347"/>
      <c r="H832" s="328">
        <v>0</v>
      </c>
      <c r="I832" s="210"/>
    </row>
    <row r="833" spans="1:9">
      <c r="A833" s="395">
        <v>7</v>
      </c>
      <c r="B833" s="792">
        <v>330100400000000</v>
      </c>
      <c r="C833" s="313" t="s">
        <v>2650</v>
      </c>
      <c r="D833" s="322"/>
      <c r="E833" s="328"/>
      <c r="F833" s="347"/>
      <c r="G833" s="347"/>
      <c r="H833" s="328"/>
      <c r="I833" s="210"/>
    </row>
    <row r="834" spans="1:9">
      <c r="A834" s="394">
        <v>5</v>
      </c>
      <c r="B834" s="793" t="s">
        <v>938</v>
      </c>
      <c r="C834" s="310" t="s">
        <v>1632</v>
      </c>
      <c r="D834" s="321"/>
      <c r="E834" s="352"/>
      <c r="F834" s="352"/>
      <c r="G834" s="352"/>
      <c r="H834" s="352">
        <v>0</v>
      </c>
    </row>
    <row r="835" spans="1:9" ht="25.5">
      <c r="A835" s="394">
        <v>6</v>
      </c>
      <c r="B835" s="793" t="s">
        <v>939</v>
      </c>
      <c r="C835" s="310" t="s">
        <v>1633</v>
      </c>
      <c r="D835" s="321"/>
      <c r="E835" s="352"/>
      <c r="F835" s="352"/>
      <c r="G835" s="352"/>
      <c r="H835" s="352">
        <v>0</v>
      </c>
    </row>
    <row r="836" spans="1:9" ht="24">
      <c r="A836" s="396">
        <v>7</v>
      </c>
      <c r="B836" s="797">
        <v>3302001000000</v>
      </c>
      <c r="C836" s="316" t="s">
        <v>2447</v>
      </c>
      <c r="D836" s="324"/>
      <c r="E836" s="353"/>
      <c r="F836" s="353"/>
      <c r="G836" s="353"/>
      <c r="H836" s="353"/>
      <c r="I836" s="210"/>
    </row>
    <row r="837" spans="1:9" ht="24">
      <c r="A837" s="395">
        <v>8</v>
      </c>
      <c r="B837" s="792">
        <v>330200100100000</v>
      </c>
      <c r="C837" s="313" t="s">
        <v>2448</v>
      </c>
      <c r="D837" s="322"/>
      <c r="E837" s="328">
        <f t="shared" si="13"/>
        <v>267996.25</v>
      </c>
      <c r="F837" s="347">
        <v>267996.25</v>
      </c>
      <c r="G837" s="347"/>
      <c r="H837" s="328">
        <v>267144.83</v>
      </c>
      <c r="I837" s="210"/>
    </row>
    <row r="838" spans="1:9" ht="24">
      <c r="A838" s="396">
        <v>8</v>
      </c>
      <c r="B838" s="795">
        <v>3302001002000</v>
      </c>
      <c r="C838" s="316" t="s">
        <v>2449</v>
      </c>
      <c r="D838" s="324"/>
      <c r="E838" s="353"/>
      <c r="F838" s="353"/>
      <c r="G838" s="353"/>
      <c r="H838" s="353">
        <v>0</v>
      </c>
      <c r="I838" s="210"/>
    </row>
    <row r="839" spans="1:9" ht="24">
      <c r="A839" s="395">
        <v>9</v>
      </c>
      <c r="B839" s="792">
        <v>330200100201000</v>
      </c>
      <c r="C839" s="313" t="s">
        <v>2450</v>
      </c>
      <c r="D839" s="322"/>
      <c r="E839" s="328">
        <f t="shared" si="13"/>
        <v>1898.66</v>
      </c>
      <c r="F839" s="347">
        <v>1898.66</v>
      </c>
      <c r="G839" s="347"/>
      <c r="H839" s="328">
        <v>2063</v>
      </c>
      <c r="I839" s="210"/>
    </row>
    <row r="840" spans="1:9">
      <c r="A840" s="395">
        <v>9</v>
      </c>
      <c r="B840" s="792">
        <v>330200100202000</v>
      </c>
      <c r="C840" s="313" t="s">
        <v>2451</v>
      </c>
      <c r="D840" s="322"/>
      <c r="E840" s="328">
        <f t="shared" si="13"/>
        <v>0</v>
      </c>
      <c r="F840" s="347"/>
      <c r="G840" s="347"/>
      <c r="H840" s="328">
        <v>0</v>
      </c>
      <c r="I840" s="210"/>
    </row>
    <row r="841" spans="1:9">
      <c r="A841" s="395">
        <v>9</v>
      </c>
      <c r="B841" s="792">
        <v>330200100203000</v>
      </c>
      <c r="C841" s="313" t="s">
        <v>2452</v>
      </c>
      <c r="D841" s="322"/>
      <c r="E841" s="328">
        <f t="shared" si="13"/>
        <v>45673</v>
      </c>
      <c r="F841" s="347">
        <v>45673</v>
      </c>
      <c r="G841" s="347"/>
      <c r="H841" s="328">
        <v>36521.300000000003</v>
      </c>
      <c r="I841" s="210"/>
    </row>
    <row r="842" spans="1:9" ht="24">
      <c r="A842" s="396">
        <v>8</v>
      </c>
      <c r="B842" s="795">
        <v>3302001003000</v>
      </c>
      <c r="C842" s="316" t="s">
        <v>2453</v>
      </c>
      <c r="D842" s="324"/>
      <c r="E842" s="353"/>
      <c r="F842" s="353"/>
      <c r="G842" s="353"/>
      <c r="H842" s="353">
        <v>0</v>
      </c>
      <c r="I842" s="210"/>
    </row>
    <row r="843" spans="1:9">
      <c r="A843" s="395">
        <v>9</v>
      </c>
      <c r="B843" s="792">
        <v>330200100301000</v>
      </c>
      <c r="C843" s="313" t="s">
        <v>2454</v>
      </c>
      <c r="D843" s="322"/>
      <c r="E843" s="328">
        <f t="shared" si="13"/>
        <v>9503.49</v>
      </c>
      <c r="F843" s="347">
        <v>9503.49</v>
      </c>
      <c r="G843" s="347"/>
      <c r="H843" s="328">
        <v>6902.91</v>
      </c>
      <c r="I843" s="210"/>
    </row>
    <row r="844" spans="1:9" ht="24">
      <c r="A844" s="395">
        <v>9</v>
      </c>
      <c r="B844" s="792">
        <v>330200100302000</v>
      </c>
      <c r="C844" s="313" t="s">
        <v>2455</v>
      </c>
      <c r="D844" s="322"/>
      <c r="E844" s="328">
        <f t="shared" si="13"/>
        <v>1854.84</v>
      </c>
      <c r="F844" s="347">
        <v>1854.84</v>
      </c>
      <c r="G844" s="347"/>
      <c r="H844" s="328">
        <v>1284.1199999999999</v>
      </c>
      <c r="I844" s="210"/>
    </row>
    <row r="845" spans="1:9" ht="24">
      <c r="A845" s="395">
        <v>9</v>
      </c>
      <c r="B845" s="792">
        <v>330200100303000</v>
      </c>
      <c r="C845" s="313" t="s">
        <v>2456</v>
      </c>
      <c r="D845" s="322"/>
      <c r="E845" s="328">
        <f t="shared" si="13"/>
        <v>888.88</v>
      </c>
      <c r="F845" s="347">
        <v>888.88</v>
      </c>
      <c r="G845" s="347"/>
      <c r="H845" s="328">
        <v>4181.8599999999997</v>
      </c>
      <c r="I845" s="210"/>
    </row>
    <row r="846" spans="1:9" ht="24">
      <c r="A846" s="395">
        <v>8</v>
      </c>
      <c r="B846" s="792">
        <v>330200100400000</v>
      </c>
      <c r="C846" s="313" t="s">
        <v>2457</v>
      </c>
      <c r="D846" s="322"/>
      <c r="E846" s="328">
        <f t="shared" si="13"/>
        <v>0</v>
      </c>
      <c r="F846" s="347"/>
      <c r="G846" s="347"/>
      <c r="H846" s="328">
        <v>0</v>
      </c>
      <c r="I846" s="210"/>
    </row>
    <row r="847" spans="1:9" ht="24">
      <c r="A847" s="395">
        <v>8</v>
      </c>
      <c r="B847" s="792">
        <v>330200100500000</v>
      </c>
      <c r="C847" s="313" t="s">
        <v>2458</v>
      </c>
      <c r="D847" s="322"/>
      <c r="E847" s="328">
        <f t="shared" si="13"/>
        <v>0</v>
      </c>
      <c r="F847" s="347"/>
      <c r="G847" s="347"/>
      <c r="H847" s="328">
        <v>0</v>
      </c>
      <c r="I847" s="210"/>
    </row>
    <row r="848" spans="1:9" ht="24">
      <c r="A848" s="395">
        <v>8</v>
      </c>
      <c r="B848" s="792">
        <v>330200100600000</v>
      </c>
      <c r="C848" s="313" t="s">
        <v>2459</v>
      </c>
      <c r="D848" s="322"/>
      <c r="E848" s="328">
        <f t="shared" si="13"/>
        <v>0</v>
      </c>
      <c r="F848" s="347"/>
      <c r="G848" s="347"/>
      <c r="H848" s="328">
        <v>1708.74</v>
      </c>
      <c r="I848" s="210"/>
    </row>
    <row r="849" spans="1:9" ht="24">
      <c r="A849" s="395">
        <v>8</v>
      </c>
      <c r="B849" s="792">
        <v>330200100900000</v>
      </c>
      <c r="C849" s="313" t="s">
        <v>2460</v>
      </c>
      <c r="D849" s="322"/>
      <c r="E849" s="328">
        <f t="shared" si="13"/>
        <v>97267.69</v>
      </c>
      <c r="F849" s="347">
        <v>97267.69</v>
      </c>
      <c r="G849" s="347"/>
      <c r="H849" s="328">
        <v>96008.35</v>
      </c>
      <c r="I849" s="210"/>
    </row>
    <row r="850" spans="1:9" ht="24">
      <c r="A850" s="396">
        <v>7</v>
      </c>
      <c r="B850" s="795">
        <v>3302001010000</v>
      </c>
      <c r="C850" s="316" t="s">
        <v>2461</v>
      </c>
      <c r="D850" s="324"/>
      <c r="E850" s="353"/>
      <c r="F850" s="353"/>
      <c r="G850" s="353"/>
      <c r="H850" s="353">
        <v>0</v>
      </c>
      <c r="I850" s="210"/>
    </row>
    <row r="851" spans="1:9" ht="24">
      <c r="A851" s="395">
        <v>8</v>
      </c>
      <c r="B851" s="792">
        <v>330200101100000</v>
      </c>
      <c r="C851" s="313" t="s">
        <v>2462</v>
      </c>
      <c r="D851" s="322"/>
      <c r="E851" s="328">
        <f t="shared" si="13"/>
        <v>22585.37</v>
      </c>
      <c r="F851" s="347">
        <v>22585.37</v>
      </c>
      <c r="G851" s="347"/>
      <c r="H851" s="328">
        <v>22192.51</v>
      </c>
      <c r="I851" s="210"/>
    </row>
    <row r="852" spans="1:9" ht="24">
      <c r="A852" s="396">
        <v>8</v>
      </c>
      <c r="B852" s="795">
        <v>3302001012000</v>
      </c>
      <c r="C852" s="316" t="s">
        <v>2463</v>
      </c>
      <c r="D852" s="324"/>
      <c r="E852" s="353"/>
      <c r="F852" s="353"/>
      <c r="G852" s="353"/>
      <c r="H852" s="353">
        <v>0</v>
      </c>
      <c r="I852" s="210"/>
    </row>
    <row r="853" spans="1:9" ht="24">
      <c r="A853" s="395">
        <v>9</v>
      </c>
      <c r="B853" s="792">
        <v>330200101201000</v>
      </c>
      <c r="C853" s="313" t="s">
        <v>2464</v>
      </c>
      <c r="D853" s="322"/>
      <c r="E853" s="328">
        <f t="shared" si="13"/>
        <v>147.18</v>
      </c>
      <c r="F853" s="347">
        <v>147.18</v>
      </c>
      <c r="G853" s="347"/>
      <c r="H853" s="328">
        <v>0</v>
      </c>
      <c r="I853" s="210"/>
    </row>
    <row r="854" spans="1:9" ht="24">
      <c r="A854" s="395">
        <v>9</v>
      </c>
      <c r="B854" s="792">
        <v>330200101202000</v>
      </c>
      <c r="C854" s="313" t="s">
        <v>2465</v>
      </c>
      <c r="D854" s="322"/>
      <c r="E854" s="328">
        <f t="shared" si="13"/>
        <v>0</v>
      </c>
      <c r="F854" s="347"/>
      <c r="G854" s="347"/>
      <c r="H854" s="328">
        <v>0</v>
      </c>
      <c r="I854" s="210"/>
    </row>
    <row r="855" spans="1:9">
      <c r="A855" s="395">
        <v>9</v>
      </c>
      <c r="B855" s="792">
        <v>330200101203000</v>
      </c>
      <c r="C855" s="313" t="s">
        <v>2466</v>
      </c>
      <c r="D855" s="322"/>
      <c r="E855" s="328">
        <f t="shared" si="13"/>
        <v>2855</v>
      </c>
      <c r="F855" s="347">
        <v>2855</v>
      </c>
      <c r="G855" s="347"/>
      <c r="H855" s="328">
        <v>1817.39</v>
      </c>
      <c r="I855" s="210"/>
    </row>
    <row r="856" spans="1:9" ht="24">
      <c r="A856" s="396">
        <v>8</v>
      </c>
      <c r="B856" s="795">
        <v>3302001013000</v>
      </c>
      <c r="C856" s="316" t="s">
        <v>2467</v>
      </c>
      <c r="D856" s="324"/>
      <c r="E856" s="353"/>
      <c r="F856" s="353"/>
      <c r="G856" s="353"/>
      <c r="H856" s="353">
        <v>0</v>
      </c>
      <c r="I856" s="210"/>
    </row>
    <row r="857" spans="1:9" ht="24">
      <c r="A857" s="395">
        <v>9</v>
      </c>
      <c r="B857" s="792">
        <v>330200101301000</v>
      </c>
      <c r="C857" s="313" t="s">
        <v>2468</v>
      </c>
      <c r="D857" s="322"/>
      <c r="E857" s="328">
        <f t="shared" si="13"/>
        <v>0</v>
      </c>
      <c r="F857" s="347"/>
      <c r="G857" s="347"/>
      <c r="H857" s="328">
        <v>0</v>
      </c>
      <c r="I857" s="210"/>
    </row>
    <row r="858" spans="1:9" ht="24">
      <c r="A858" s="395">
        <v>9</v>
      </c>
      <c r="B858" s="792">
        <v>330200101302000</v>
      </c>
      <c r="C858" s="313" t="s">
        <v>2469</v>
      </c>
      <c r="D858" s="322"/>
      <c r="E858" s="328">
        <f t="shared" si="13"/>
        <v>0</v>
      </c>
      <c r="F858" s="347"/>
      <c r="G858" s="347"/>
      <c r="H858" s="328">
        <v>0</v>
      </c>
      <c r="I858" s="210"/>
    </row>
    <row r="859" spans="1:9" ht="24">
      <c r="A859" s="395">
        <v>9</v>
      </c>
      <c r="B859" s="792">
        <v>330200101303000</v>
      </c>
      <c r="C859" s="313" t="s">
        <v>2470</v>
      </c>
      <c r="D859" s="322"/>
      <c r="E859" s="328">
        <f t="shared" si="13"/>
        <v>124.15</v>
      </c>
      <c r="F859" s="347">
        <v>124.15</v>
      </c>
      <c r="G859" s="347"/>
      <c r="H859" s="328">
        <v>114.6</v>
      </c>
      <c r="I859" s="210"/>
    </row>
    <row r="860" spans="1:9" ht="24">
      <c r="A860" s="395">
        <v>8</v>
      </c>
      <c r="B860" s="792">
        <v>330200101400000</v>
      </c>
      <c r="C860" s="313" t="s">
        <v>2471</v>
      </c>
      <c r="D860" s="322"/>
      <c r="E860" s="328">
        <f t="shared" si="13"/>
        <v>0</v>
      </c>
      <c r="F860" s="347"/>
      <c r="G860" s="347"/>
      <c r="H860" s="328">
        <v>0</v>
      </c>
      <c r="I860" s="210"/>
    </row>
    <row r="861" spans="1:9" ht="24">
      <c r="A861" s="395">
        <v>8</v>
      </c>
      <c r="B861" s="792">
        <v>330200101500000</v>
      </c>
      <c r="C861" s="313" t="s">
        <v>2472</v>
      </c>
      <c r="D861" s="322"/>
      <c r="E861" s="328">
        <f t="shared" si="13"/>
        <v>0</v>
      </c>
      <c r="F861" s="347"/>
      <c r="G861" s="347"/>
      <c r="H861" s="328">
        <v>0</v>
      </c>
      <c r="I861" s="210"/>
    </row>
    <row r="862" spans="1:9" ht="24">
      <c r="A862" s="395">
        <v>8</v>
      </c>
      <c r="B862" s="792">
        <v>330200101600000</v>
      </c>
      <c r="C862" s="313" t="s">
        <v>2473</v>
      </c>
      <c r="D862" s="322"/>
      <c r="E862" s="328">
        <f t="shared" si="13"/>
        <v>0</v>
      </c>
      <c r="F862" s="347"/>
      <c r="G862" s="347"/>
      <c r="H862" s="328">
        <v>0</v>
      </c>
      <c r="I862" s="210"/>
    </row>
    <row r="863" spans="1:9" ht="24">
      <c r="A863" s="395">
        <v>8</v>
      </c>
      <c r="B863" s="792">
        <v>330200101900000</v>
      </c>
      <c r="C863" s="313" t="s">
        <v>2474</v>
      </c>
      <c r="D863" s="322"/>
      <c r="E863" s="328">
        <f t="shared" si="13"/>
        <v>7549.1</v>
      </c>
      <c r="F863" s="347">
        <v>7549.1</v>
      </c>
      <c r="G863" s="347"/>
      <c r="H863" s="328">
        <v>6626.88</v>
      </c>
      <c r="I863" s="210"/>
    </row>
    <row r="864" spans="1:9" ht="25.5">
      <c r="A864" s="394">
        <v>6</v>
      </c>
      <c r="B864" s="793" t="s">
        <v>940</v>
      </c>
      <c r="C864" s="310" t="s">
        <v>1634</v>
      </c>
      <c r="D864" s="321"/>
      <c r="E864" s="352"/>
      <c r="F864" s="352"/>
      <c r="G864" s="352"/>
      <c r="H864" s="352">
        <v>0</v>
      </c>
    </row>
    <row r="865" spans="1:9" ht="24">
      <c r="A865" s="396">
        <v>7</v>
      </c>
      <c r="B865" s="795">
        <v>3302002000000</v>
      </c>
      <c r="C865" s="316" t="s">
        <v>2475</v>
      </c>
      <c r="D865" s="324"/>
      <c r="E865" s="353"/>
      <c r="F865" s="353"/>
      <c r="G865" s="353"/>
      <c r="H865" s="353">
        <v>0</v>
      </c>
      <c r="I865" s="210"/>
    </row>
    <row r="866" spans="1:9" ht="24">
      <c r="A866" s="395">
        <v>8</v>
      </c>
      <c r="B866" s="792">
        <v>330200200100000</v>
      </c>
      <c r="C866" s="313" t="s">
        <v>2476</v>
      </c>
      <c r="D866" s="322"/>
      <c r="E866" s="328">
        <f t="shared" si="13"/>
        <v>0</v>
      </c>
      <c r="F866" s="347"/>
      <c r="G866" s="347"/>
      <c r="H866" s="328">
        <v>0</v>
      </c>
      <c r="I866" s="210"/>
    </row>
    <row r="867" spans="1:9" ht="24">
      <c r="A867" s="396">
        <v>8</v>
      </c>
      <c r="B867" s="795">
        <v>3302002002000</v>
      </c>
      <c r="C867" s="316" t="s">
        <v>2477</v>
      </c>
      <c r="D867" s="324"/>
      <c r="E867" s="353"/>
      <c r="F867" s="353"/>
      <c r="G867" s="353"/>
      <c r="H867" s="353">
        <v>0</v>
      </c>
      <c r="I867" s="210"/>
    </row>
    <row r="868" spans="1:9" ht="24">
      <c r="A868" s="395">
        <v>9</v>
      </c>
      <c r="B868" s="792">
        <v>330200200201000</v>
      </c>
      <c r="C868" s="313" t="s">
        <v>2478</v>
      </c>
      <c r="D868" s="322"/>
      <c r="E868" s="328">
        <f t="shared" si="13"/>
        <v>0</v>
      </c>
      <c r="F868" s="347"/>
      <c r="G868" s="347"/>
      <c r="H868" s="328">
        <v>0</v>
      </c>
      <c r="I868" s="210"/>
    </row>
    <row r="869" spans="1:9">
      <c r="A869" s="395">
        <v>9</v>
      </c>
      <c r="B869" s="792">
        <v>330200200202000</v>
      </c>
      <c r="C869" s="313" t="s">
        <v>2479</v>
      </c>
      <c r="D869" s="322"/>
      <c r="E869" s="328">
        <f t="shared" si="13"/>
        <v>0</v>
      </c>
      <c r="F869" s="347"/>
      <c r="G869" s="347"/>
      <c r="H869" s="328">
        <v>0</v>
      </c>
      <c r="I869" s="210"/>
    </row>
    <row r="870" spans="1:9">
      <c r="A870" s="395">
        <v>9</v>
      </c>
      <c r="B870" s="792">
        <v>330200200203000</v>
      </c>
      <c r="C870" s="313" t="s">
        <v>2480</v>
      </c>
      <c r="D870" s="322"/>
      <c r="E870" s="328">
        <f t="shared" si="13"/>
        <v>0</v>
      </c>
      <c r="F870" s="347"/>
      <c r="G870" s="347"/>
      <c r="H870" s="328">
        <v>0</v>
      </c>
      <c r="I870" s="210"/>
    </row>
    <row r="871" spans="1:9" ht="24">
      <c r="A871" s="396">
        <v>8</v>
      </c>
      <c r="B871" s="795">
        <v>3302002003000</v>
      </c>
      <c r="C871" s="316" t="s">
        <v>2481</v>
      </c>
      <c r="D871" s="324"/>
      <c r="E871" s="353"/>
      <c r="F871" s="353"/>
      <c r="G871" s="353"/>
      <c r="H871" s="353">
        <v>0</v>
      </c>
      <c r="I871" s="210"/>
    </row>
    <row r="872" spans="1:9">
      <c r="A872" s="395">
        <v>9</v>
      </c>
      <c r="B872" s="792">
        <v>330200200301000</v>
      </c>
      <c r="C872" s="313" t="s">
        <v>2482</v>
      </c>
      <c r="D872" s="322"/>
      <c r="E872" s="328">
        <f t="shared" si="13"/>
        <v>0</v>
      </c>
      <c r="F872" s="347"/>
      <c r="G872" s="347"/>
      <c r="H872" s="328">
        <v>0</v>
      </c>
      <c r="I872" s="210"/>
    </row>
    <row r="873" spans="1:9" ht="24">
      <c r="A873" s="395">
        <v>9</v>
      </c>
      <c r="B873" s="792">
        <v>330200200302000</v>
      </c>
      <c r="C873" s="313" t="s">
        <v>2483</v>
      </c>
      <c r="D873" s="322"/>
      <c r="E873" s="328">
        <f t="shared" si="13"/>
        <v>0</v>
      </c>
      <c r="F873" s="347"/>
      <c r="G873" s="347"/>
      <c r="H873" s="328">
        <v>0</v>
      </c>
      <c r="I873" s="210"/>
    </row>
    <row r="874" spans="1:9" ht="24">
      <c r="A874" s="395">
        <v>9</v>
      </c>
      <c r="B874" s="792">
        <v>330200200303000</v>
      </c>
      <c r="C874" s="313" t="s">
        <v>2484</v>
      </c>
      <c r="D874" s="322"/>
      <c r="E874" s="328">
        <f t="shared" si="13"/>
        <v>0</v>
      </c>
      <c r="F874" s="347"/>
      <c r="G874" s="347"/>
      <c r="H874" s="328">
        <v>0</v>
      </c>
      <c r="I874" s="210"/>
    </row>
    <row r="875" spans="1:9" ht="24">
      <c r="A875" s="395">
        <v>8</v>
      </c>
      <c r="B875" s="792">
        <v>330200200400000</v>
      </c>
      <c r="C875" s="313" t="s">
        <v>2485</v>
      </c>
      <c r="D875" s="322"/>
      <c r="E875" s="328">
        <f t="shared" si="13"/>
        <v>0</v>
      </c>
      <c r="F875" s="347"/>
      <c r="G875" s="347"/>
      <c r="H875" s="328">
        <v>0</v>
      </c>
      <c r="I875" s="210"/>
    </row>
    <row r="876" spans="1:9" ht="24">
      <c r="A876" s="395">
        <v>8</v>
      </c>
      <c r="B876" s="792">
        <v>330200200500000</v>
      </c>
      <c r="C876" s="313" t="s">
        <v>2486</v>
      </c>
      <c r="D876" s="322"/>
      <c r="E876" s="328">
        <f t="shared" si="13"/>
        <v>0</v>
      </c>
      <c r="F876" s="347"/>
      <c r="G876" s="347"/>
      <c r="H876" s="328">
        <v>0</v>
      </c>
      <c r="I876" s="210"/>
    </row>
    <row r="877" spans="1:9" ht="24">
      <c r="A877" s="395">
        <v>8</v>
      </c>
      <c r="B877" s="792">
        <v>330200200600000</v>
      </c>
      <c r="C877" s="313" t="s">
        <v>2487</v>
      </c>
      <c r="D877" s="322"/>
      <c r="E877" s="328">
        <f t="shared" si="13"/>
        <v>0</v>
      </c>
      <c r="F877" s="347"/>
      <c r="G877" s="347"/>
      <c r="H877" s="328">
        <v>0</v>
      </c>
      <c r="I877" s="210"/>
    </row>
    <row r="878" spans="1:9" ht="24">
      <c r="A878" s="395">
        <v>8</v>
      </c>
      <c r="B878" s="792">
        <v>330200200900000</v>
      </c>
      <c r="C878" s="313" t="s">
        <v>2488</v>
      </c>
      <c r="D878" s="322"/>
      <c r="E878" s="328">
        <f t="shared" si="13"/>
        <v>0</v>
      </c>
      <c r="F878" s="347"/>
      <c r="G878" s="347"/>
      <c r="H878" s="328">
        <v>0</v>
      </c>
      <c r="I878" s="210"/>
    </row>
    <row r="879" spans="1:9" ht="24">
      <c r="A879" s="396">
        <v>7</v>
      </c>
      <c r="B879" s="795">
        <v>3302002010000</v>
      </c>
      <c r="C879" s="316" t="s">
        <v>2489</v>
      </c>
      <c r="D879" s="324"/>
      <c r="E879" s="353"/>
      <c r="F879" s="353"/>
      <c r="G879" s="353"/>
      <c r="H879" s="353">
        <v>0</v>
      </c>
      <c r="I879" s="210"/>
    </row>
    <row r="880" spans="1:9" ht="24">
      <c r="A880" s="395">
        <v>8</v>
      </c>
      <c r="B880" s="792">
        <v>330200201100000</v>
      </c>
      <c r="C880" s="313" t="s">
        <v>2490</v>
      </c>
      <c r="D880" s="322"/>
      <c r="E880" s="328">
        <f t="shared" si="13"/>
        <v>0</v>
      </c>
      <c r="F880" s="347"/>
      <c r="G880" s="347"/>
      <c r="H880" s="328">
        <v>0</v>
      </c>
      <c r="I880" s="210"/>
    </row>
    <row r="881" spans="1:9" ht="24">
      <c r="A881" s="396">
        <v>8</v>
      </c>
      <c r="B881" s="795">
        <v>3302002012000</v>
      </c>
      <c r="C881" s="316" t="s">
        <v>2491</v>
      </c>
      <c r="D881" s="324"/>
      <c r="E881" s="353"/>
      <c r="F881" s="353"/>
      <c r="G881" s="353"/>
      <c r="H881" s="353">
        <v>0</v>
      </c>
      <c r="I881" s="210"/>
    </row>
    <row r="882" spans="1:9" ht="24">
      <c r="A882" s="395">
        <v>9</v>
      </c>
      <c r="B882" s="792">
        <v>330200201201000</v>
      </c>
      <c r="C882" s="313" t="s">
        <v>2492</v>
      </c>
      <c r="D882" s="322"/>
      <c r="E882" s="328">
        <f t="shared" si="13"/>
        <v>0</v>
      </c>
      <c r="F882" s="347"/>
      <c r="G882" s="347"/>
      <c r="H882" s="328">
        <v>0</v>
      </c>
      <c r="I882" s="210"/>
    </row>
    <row r="883" spans="1:9" ht="24">
      <c r="A883" s="395">
        <v>9</v>
      </c>
      <c r="B883" s="792">
        <v>330200201202000</v>
      </c>
      <c r="C883" s="313" t="s">
        <v>2493</v>
      </c>
      <c r="D883" s="322"/>
      <c r="E883" s="328">
        <f t="shared" si="13"/>
        <v>0</v>
      </c>
      <c r="F883" s="347"/>
      <c r="G883" s="347"/>
      <c r="H883" s="328">
        <v>0</v>
      </c>
      <c r="I883" s="210"/>
    </row>
    <row r="884" spans="1:9">
      <c r="A884" s="395">
        <v>9</v>
      </c>
      <c r="B884" s="792">
        <v>330200201203000</v>
      </c>
      <c r="C884" s="313" t="s">
        <v>2494</v>
      </c>
      <c r="D884" s="322"/>
      <c r="E884" s="328">
        <f t="shared" si="13"/>
        <v>0</v>
      </c>
      <c r="F884" s="347"/>
      <c r="G884" s="347"/>
      <c r="H884" s="328">
        <v>0</v>
      </c>
      <c r="I884" s="210"/>
    </row>
    <row r="885" spans="1:9" ht="24">
      <c r="A885" s="396">
        <v>8</v>
      </c>
      <c r="B885" s="795">
        <v>3302002013000</v>
      </c>
      <c r="C885" s="316" t="s">
        <v>2495</v>
      </c>
      <c r="D885" s="324"/>
      <c r="E885" s="353"/>
      <c r="F885" s="353"/>
      <c r="G885" s="353"/>
      <c r="H885" s="353">
        <v>0</v>
      </c>
      <c r="I885" s="210"/>
    </row>
    <row r="886" spans="1:9" ht="24">
      <c r="A886" s="395">
        <v>9</v>
      </c>
      <c r="B886" s="792">
        <v>330200201301000</v>
      </c>
      <c r="C886" s="313" t="s">
        <v>2496</v>
      </c>
      <c r="D886" s="322"/>
      <c r="E886" s="328">
        <f t="shared" si="13"/>
        <v>0</v>
      </c>
      <c r="F886" s="347"/>
      <c r="G886" s="347"/>
      <c r="H886" s="328">
        <v>0</v>
      </c>
      <c r="I886" s="210"/>
    </row>
    <row r="887" spans="1:9" ht="24">
      <c r="A887" s="395">
        <v>9</v>
      </c>
      <c r="B887" s="792">
        <v>330200201302000</v>
      </c>
      <c r="C887" s="313" t="s">
        <v>2497</v>
      </c>
      <c r="D887" s="322"/>
      <c r="E887" s="328">
        <f t="shared" si="13"/>
        <v>0</v>
      </c>
      <c r="F887" s="347"/>
      <c r="G887" s="347"/>
      <c r="H887" s="328">
        <v>0</v>
      </c>
      <c r="I887" s="210"/>
    </row>
    <row r="888" spans="1:9" ht="24">
      <c r="A888" s="395">
        <v>9</v>
      </c>
      <c r="B888" s="792">
        <v>330200201303000</v>
      </c>
      <c r="C888" s="313" t="s">
        <v>2498</v>
      </c>
      <c r="D888" s="322"/>
      <c r="E888" s="328">
        <f t="shared" si="13"/>
        <v>0</v>
      </c>
      <c r="F888" s="347"/>
      <c r="G888" s="347"/>
      <c r="H888" s="328">
        <v>0</v>
      </c>
      <c r="I888" s="210"/>
    </row>
    <row r="889" spans="1:9" ht="24">
      <c r="A889" s="395">
        <v>8</v>
      </c>
      <c r="B889" s="792">
        <v>330200201400000</v>
      </c>
      <c r="C889" s="313" t="s">
        <v>2499</v>
      </c>
      <c r="D889" s="322"/>
      <c r="E889" s="328">
        <f t="shared" ref="E889:E953" si="15">+F889+G889</f>
        <v>0</v>
      </c>
      <c r="F889" s="347"/>
      <c r="G889" s="347"/>
      <c r="H889" s="328">
        <v>0</v>
      </c>
      <c r="I889" s="210"/>
    </row>
    <row r="890" spans="1:9" ht="24">
      <c r="A890" s="395">
        <v>8</v>
      </c>
      <c r="B890" s="792">
        <v>330200201500000</v>
      </c>
      <c r="C890" s="313" t="s">
        <v>2500</v>
      </c>
      <c r="D890" s="322"/>
      <c r="E890" s="328">
        <f t="shared" si="15"/>
        <v>0</v>
      </c>
      <c r="F890" s="347"/>
      <c r="G890" s="347"/>
      <c r="H890" s="328">
        <v>0</v>
      </c>
      <c r="I890" s="210"/>
    </row>
    <row r="891" spans="1:9" ht="24">
      <c r="A891" s="395">
        <v>8</v>
      </c>
      <c r="B891" s="792">
        <v>330200201600000</v>
      </c>
      <c r="C891" s="313" t="s">
        <v>2501</v>
      </c>
      <c r="D891" s="322"/>
      <c r="E891" s="328">
        <f t="shared" si="15"/>
        <v>0</v>
      </c>
      <c r="F891" s="347"/>
      <c r="G891" s="347"/>
      <c r="H891" s="328">
        <v>0</v>
      </c>
      <c r="I891" s="210"/>
    </row>
    <row r="892" spans="1:9" ht="24">
      <c r="A892" s="395">
        <v>8</v>
      </c>
      <c r="B892" s="792">
        <v>330200201900000</v>
      </c>
      <c r="C892" s="313" t="s">
        <v>2502</v>
      </c>
      <c r="D892" s="322"/>
      <c r="E892" s="328">
        <f t="shared" si="15"/>
        <v>0</v>
      </c>
      <c r="F892" s="347"/>
      <c r="G892" s="347"/>
      <c r="H892" s="328">
        <v>0</v>
      </c>
      <c r="I892" s="210"/>
    </row>
    <row r="893" spans="1:9">
      <c r="A893" s="394">
        <v>6</v>
      </c>
      <c r="B893" s="793" t="s">
        <v>942</v>
      </c>
      <c r="C893" s="310" t="s">
        <v>1635</v>
      </c>
      <c r="D893" s="321"/>
      <c r="E893" s="352"/>
      <c r="F893" s="352"/>
      <c r="G893" s="352"/>
      <c r="H893" s="352">
        <v>0</v>
      </c>
    </row>
    <row r="894" spans="1:9">
      <c r="A894" s="395">
        <v>7</v>
      </c>
      <c r="B894" s="792">
        <v>330200300000000</v>
      </c>
      <c r="C894" s="313" t="s">
        <v>941</v>
      </c>
      <c r="D894" s="322"/>
      <c r="E894" s="328">
        <f t="shared" si="15"/>
        <v>0</v>
      </c>
      <c r="F894" s="347"/>
      <c r="G894" s="347"/>
      <c r="H894" s="328">
        <v>0</v>
      </c>
      <c r="I894" s="210"/>
    </row>
    <row r="895" spans="1:9">
      <c r="A895" s="395">
        <v>7</v>
      </c>
      <c r="B895" s="792">
        <v>330200400000000</v>
      </c>
      <c r="C895" s="313" t="s">
        <v>2651</v>
      </c>
      <c r="D895" s="322"/>
      <c r="E895" s="328"/>
      <c r="F895" s="347"/>
      <c r="G895" s="347"/>
      <c r="H895" s="328"/>
      <c r="I895" s="210"/>
    </row>
    <row r="896" spans="1:9">
      <c r="A896" s="394">
        <v>4</v>
      </c>
      <c r="B896" s="793" t="s">
        <v>943</v>
      </c>
      <c r="C896" s="310" t="s">
        <v>2503</v>
      </c>
      <c r="D896" s="321"/>
      <c r="E896" s="352"/>
      <c r="F896" s="352"/>
      <c r="G896" s="352"/>
      <c r="H896" s="352">
        <v>0</v>
      </c>
    </row>
    <row r="897" spans="1:9">
      <c r="A897" s="394">
        <v>5</v>
      </c>
      <c r="B897" s="793" t="s">
        <v>944</v>
      </c>
      <c r="C897" s="310" t="s">
        <v>1637</v>
      </c>
      <c r="D897" s="321"/>
      <c r="E897" s="352"/>
      <c r="F897" s="352"/>
      <c r="G897" s="352"/>
      <c r="H897" s="352">
        <v>0</v>
      </c>
    </row>
    <row r="898" spans="1:9" ht="25.5">
      <c r="A898" s="394">
        <v>6</v>
      </c>
      <c r="B898" s="793" t="s">
        <v>945</v>
      </c>
      <c r="C898" s="310" t="s">
        <v>1638</v>
      </c>
      <c r="D898" s="321"/>
      <c r="E898" s="352"/>
      <c r="F898" s="352"/>
      <c r="G898" s="352"/>
      <c r="H898" s="352">
        <v>0</v>
      </c>
    </row>
    <row r="899" spans="1:9" ht="24">
      <c r="A899" s="395">
        <v>7</v>
      </c>
      <c r="B899" s="792">
        <v>335100100100000</v>
      </c>
      <c r="C899" s="313" t="s">
        <v>2504</v>
      </c>
      <c r="D899" s="322"/>
      <c r="E899" s="328">
        <f t="shared" si="15"/>
        <v>838125.83</v>
      </c>
      <c r="F899" s="347">
        <v>838125.83</v>
      </c>
      <c r="G899" s="347"/>
      <c r="H899" s="328">
        <v>765885.1</v>
      </c>
      <c r="I899" s="210"/>
    </row>
    <row r="900" spans="1:9" ht="24">
      <c r="A900" s="395">
        <v>7</v>
      </c>
      <c r="B900" s="792">
        <v>335100100200000</v>
      </c>
      <c r="C900" s="313" t="s">
        <v>2505</v>
      </c>
      <c r="D900" s="322"/>
      <c r="E900" s="328">
        <f t="shared" si="15"/>
        <v>245714.78</v>
      </c>
      <c r="F900" s="347">
        <v>245714.78</v>
      </c>
      <c r="G900" s="347"/>
      <c r="H900" s="328">
        <v>270230.37</v>
      </c>
      <c r="I900" s="210"/>
    </row>
    <row r="901" spans="1:9" ht="24">
      <c r="A901" s="395">
        <v>7</v>
      </c>
      <c r="B901" s="792">
        <v>335100100300000</v>
      </c>
      <c r="C901" s="313" t="s">
        <v>2506</v>
      </c>
      <c r="D901" s="322"/>
      <c r="E901" s="328">
        <f t="shared" si="15"/>
        <v>247108.59</v>
      </c>
      <c r="F901" s="347">
        <v>247108.59</v>
      </c>
      <c r="G901" s="347"/>
      <c r="H901" s="328">
        <v>161508.15</v>
      </c>
      <c r="I901" s="210"/>
    </row>
    <row r="902" spans="1:9" ht="24">
      <c r="A902" s="395">
        <v>7</v>
      </c>
      <c r="B902" s="792">
        <v>335100100400000</v>
      </c>
      <c r="C902" s="313" t="s">
        <v>2507</v>
      </c>
      <c r="D902" s="322"/>
      <c r="E902" s="328">
        <f t="shared" si="15"/>
        <v>0</v>
      </c>
      <c r="F902" s="347"/>
      <c r="G902" s="347"/>
      <c r="H902" s="328">
        <v>0</v>
      </c>
      <c r="I902" s="210"/>
    </row>
    <row r="903" spans="1:9" ht="24">
      <c r="A903" s="395">
        <v>7</v>
      </c>
      <c r="B903" s="792">
        <v>335100100500000</v>
      </c>
      <c r="C903" s="313" t="s">
        <v>2508</v>
      </c>
      <c r="D903" s="322"/>
      <c r="E903" s="328">
        <f t="shared" si="15"/>
        <v>0</v>
      </c>
      <c r="F903" s="347"/>
      <c r="G903" s="347"/>
      <c r="H903" s="328">
        <v>0</v>
      </c>
      <c r="I903" s="210"/>
    </row>
    <row r="904" spans="1:9" ht="24">
      <c r="A904" s="395">
        <v>7</v>
      </c>
      <c r="B904" s="792">
        <v>335100100600000</v>
      </c>
      <c r="C904" s="313" t="s">
        <v>2509</v>
      </c>
      <c r="D904" s="322"/>
      <c r="E904" s="328">
        <f t="shared" si="15"/>
        <v>0</v>
      </c>
      <c r="F904" s="347"/>
      <c r="G904" s="347"/>
      <c r="H904" s="328">
        <v>0</v>
      </c>
      <c r="I904" s="210"/>
    </row>
    <row r="905" spans="1:9" ht="24">
      <c r="A905" s="395">
        <v>7</v>
      </c>
      <c r="B905" s="792">
        <v>335100100700000</v>
      </c>
      <c r="C905" s="313" t="s">
        <v>2510</v>
      </c>
      <c r="D905" s="322"/>
      <c r="E905" s="328">
        <f t="shared" si="15"/>
        <v>36844.35</v>
      </c>
      <c r="F905" s="347">
        <v>36844.35</v>
      </c>
      <c r="G905" s="347"/>
      <c r="H905" s="328">
        <v>36844.35</v>
      </c>
      <c r="I905" s="210"/>
    </row>
    <row r="906" spans="1:9" ht="24">
      <c r="A906" s="395">
        <v>7</v>
      </c>
      <c r="B906" s="792">
        <v>335100100900000</v>
      </c>
      <c r="C906" s="313" t="s">
        <v>2511</v>
      </c>
      <c r="D906" s="322"/>
      <c r="E906" s="328">
        <f t="shared" si="15"/>
        <v>362449.71</v>
      </c>
      <c r="F906" s="347">
        <v>362449.71</v>
      </c>
      <c r="G906" s="347"/>
      <c r="H906" s="328">
        <v>335796.4</v>
      </c>
      <c r="I906" s="210"/>
    </row>
    <row r="907" spans="1:9" ht="25.5">
      <c r="A907" s="394">
        <v>6</v>
      </c>
      <c r="B907" s="793" t="s">
        <v>946</v>
      </c>
      <c r="C907" s="310" t="s">
        <v>1639</v>
      </c>
      <c r="D907" s="321"/>
      <c r="E907" s="352"/>
      <c r="F907" s="352"/>
      <c r="G907" s="352"/>
      <c r="H907" s="352">
        <v>0</v>
      </c>
    </row>
    <row r="908" spans="1:9" ht="24">
      <c r="A908" s="395">
        <v>7</v>
      </c>
      <c r="B908" s="792">
        <v>335100200100000</v>
      </c>
      <c r="C908" s="313" t="s">
        <v>2512</v>
      </c>
      <c r="D908" s="322"/>
      <c r="E908" s="328">
        <f t="shared" si="15"/>
        <v>47667.91</v>
      </c>
      <c r="F908" s="347">
        <v>47667.91</v>
      </c>
      <c r="G908" s="347"/>
      <c r="H908" s="328">
        <v>75644.62</v>
      </c>
      <c r="I908" s="210"/>
    </row>
    <row r="909" spans="1:9" ht="24">
      <c r="A909" s="395">
        <v>7</v>
      </c>
      <c r="B909" s="792">
        <v>335100200200000</v>
      </c>
      <c r="C909" s="313" t="s">
        <v>2513</v>
      </c>
      <c r="D909" s="322"/>
      <c r="E909" s="328">
        <f t="shared" si="15"/>
        <v>5774.99</v>
      </c>
      <c r="F909" s="347">
        <v>5774.99</v>
      </c>
      <c r="G909" s="347"/>
      <c r="H909" s="328">
        <v>9152.6299999999992</v>
      </c>
      <c r="I909" s="210"/>
    </row>
    <row r="910" spans="1:9" ht="24">
      <c r="A910" s="395">
        <v>7</v>
      </c>
      <c r="B910" s="792">
        <v>335100200300000</v>
      </c>
      <c r="C910" s="313" t="s">
        <v>2514</v>
      </c>
      <c r="D910" s="322"/>
      <c r="E910" s="328">
        <f t="shared" si="15"/>
        <v>5920</v>
      </c>
      <c r="F910" s="347">
        <v>5920</v>
      </c>
      <c r="G910" s="347"/>
      <c r="H910" s="328">
        <v>8790</v>
      </c>
      <c r="I910" s="210"/>
    </row>
    <row r="911" spans="1:9" ht="24">
      <c r="A911" s="395">
        <v>7</v>
      </c>
      <c r="B911" s="792">
        <v>335100200400000</v>
      </c>
      <c r="C911" s="313" t="s">
        <v>2515</v>
      </c>
      <c r="D911" s="322"/>
      <c r="E911" s="328">
        <f t="shared" si="15"/>
        <v>0</v>
      </c>
      <c r="F911" s="347"/>
      <c r="G911" s="347"/>
      <c r="H911" s="328">
        <v>0</v>
      </c>
      <c r="I911" s="210"/>
    </row>
    <row r="912" spans="1:9" ht="24">
      <c r="A912" s="395">
        <v>7</v>
      </c>
      <c r="B912" s="792">
        <v>335100200500000</v>
      </c>
      <c r="C912" s="313" t="s">
        <v>2516</v>
      </c>
      <c r="D912" s="322"/>
      <c r="E912" s="328">
        <f t="shared" si="15"/>
        <v>0</v>
      </c>
      <c r="F912" s="347"/>
      <c r="G912" s="347"/>
      <c r="H912" s="328">
        <v>0</v>
      </c>
      <c r="I912" s="210"/>
    </row>
    <row r="913" spans="1:9" ht="24">
      <c r="A913" s="395">
        <v>7</v>
      </c>
      <c r="B913" s="792">
        <v>335100200600000</v>
      </c>
      <c r="C913" s="313" t="s">
        <v>2517</v>
      </c>
      <c r="D913" s="322"/>
      <c r="E913" s="328">
        <f t="shared" si="15"/>
        <v>0</v>
      </c>
      <c r="F913" s="347"/>
      <c r="G913" s="347"/>
      <c r="H913" s="328">
        <v>0</v>
      </c>
      <c r="I913" s="210"/>
    </row>
    <row r="914" spans="1:9" ht="24">
      <c r="A914" s="395">
        <v>7</v>
      </c>
      <c r="B914" s="792">
        <v>335100200700000</v>
      </c>
      <c r="C914" s="313" t="s">
        <v>2518</v>
      </c>
      <c r="D914" s="322"/>
      <c r="E914" s="328">
        <f t="shared" si="15"/>
        <v>0</v>
      </c>
      <c r="F914" s="347"/>
      <c r="G914" s="347"/>
      <c r="H914" s="328">
        <v>0</v>
      </c>
      <c r="I914" s="210"/>
    </row>
    <row r="915" spans="1:9" ht="24">
      <c r="A915" s="395">
        <v>7</v>
      </c>
      <c r="B915" s="792">
        <v>335100200900000</v>
      </c>
      <c r="C915" s="313" t="s">
        <v>2519</v>
      </c>
      <c r="D915" s="322"/>
      <c r="E915" s="328">
        <f t="shared" si="15"/>
        <v>18470.580000000002</v>
      </c>
      <c r="F915" s="347">
        <v>18470.580000000002</v>
      </c>
      <c r="G915" s="347"/>
      <c r="H915" s="328">
        <v>28726.62</v>
      </c>
      <c r="I915" s="210"/>
    </row>
    <row r="916" spans="1:9" ht="25.5">
      <c r="A916" s="394">
        <v>6</v>
      </c>
      <c r="B916" s="793" t="s">
        <v>948</v>
      </c>
      <c r="C916" s="310" t="s">
        <v>1640</v>
      </c>
      <c r="D916" s="321"/>
      <c r="E916" s="352"/>
      <c r="F916" s="352"/>
      <c r="G916" s="352"/>
      <c r="H916" s="352">
        <v>0</v>
      </c>
    </row>
    <row r="917" spans="1:9">
      <c r="A917" s="395">
        <v>7</v>
      </c>
      <c r="B917" s="792">
        <v>335100300000000</v>
      </c>
      <c r="C917" s="313" t="s">
        <v>947</v>
      </c>
      <c r="D917" s="322"/>
      <c r="E917" s="328">
        <f t="shared" si="15"/>
        <v>0</v>
      </c>
      <c r="F917" s="347"/>
      <c r="G917" s="347"/>
      <c r="H917" s="328">
        <v>0</v>
      </c>
      <c r="I917" s="210"/>
    </row>
    <row r="918" spans="1:9">
      <c r="A918" s="394">
        <v>5</v>
      </c>
      <c r="B918" s="793" t="s">
        <v>949</v>
      </c>
      <c r="C918" s="310" t="s">
        <v>1641</v>
      </c>
      <c r="D918" s="321"/>
      <c r="E918" s="352"/>
      <c r="F918" s="352"/>
      <c r="G918" s="352"/>
      <c r="H918" s="352">
        <v>0</v>
      </c>
    </row>
    <row r="919" spans="1:9" ht="25.5">
      <c r="A919" s="394">
        <v>6</v>
      </c>
      <c r="B919" s="793" t="s">
        <v>950</v>
      </c>
      <c r="C919" s="310" t="s">
        <v>1642</v>
      </c>
      <c r="D919" s="321"/>
      <c r="E919" s="352"/>
      <c r="F919" s="352"/>
      <c r="G919" s="352"/>
      <c r="H919" s="352">
        <v>0</v>
      </c>
    </row>
    <row r="920" spans="1:9" ht="24">
      <c r="A920" s="395">
        <v>7</v>
      </c>
      <c r="B920" s="792">
        <v>335200100100000</v>
      </c>
      <c r="C920" s="313" t="s">
        <v>2520</v>
      </c>
      <c r="D920" s="322"/>
      <c r="E920" s="328">
        <f t="shared" si="15"/>
        <v>2778001.87</v>
      </c>
      <c r="F920" s="347">
        <v>2778001.87</v>
      </c>
      <c r="G920" s="347"/>
      <c r="H920" s="328">
        <v>2126517.56</v>
      </c>
      <c r="I920" s="210"/>
    </row>
    <row r="921" spans="1:9" ht="24">
      <c r="A921" s="396">
        <v>7</v>
      </c>
      <c r="B921" s="795">
        <v>3352001002000</v>
      </c>
      <c r="C921" s="316" t="s">
        <v>2521</v>
      </c>
      <c r="D921" s="324"/>
      <c r="E921" s="353"/>
      <c r="F921" s="353"/>
      <c r="G921" s="353"/>
      <c r="H921" s="353">
        <v>0</v>
      </c>
      <c r="I921" s="210"/>
    </row>
    <row r="922" spans="1:9" ht="24">
      <c r="A922" s="395">
        <v>8</v>
      </c>
      <c r="B922" s="792">
        <v>335200100201000</v>
      </c>
      <c r="C922" s="313" t="s">
        <v>2522</v>
      </c>
      <c r="D922" s="322"/>
      <c r="E922" s="328">
        <f t="shared" si="15"/>
        <v>11962.82</v>
      </c>
      <c r="F922" s="347">
        <v>11962.82</v>
      </c>
      <c r="G922" s="347"/>
      <c r="H922" s="328">
        <v>17540</v>
      </c>
      <c r="I922" s="210"/>
    </row>
    <row r="923" spans="1:9" ht="24">
      <c r="A923" s="395">
        <v>8</v>
      </c>
      <c r="B923" s="792">
        <v>335200100202000</v>
      </c>
      <c r="C923" s="313" t="s">
        <v>2523</v>
      </c>
      <c r="D923" s="322"/>
      <c r="E923" s="328">
        <f t="shared" si="15"/>
        <v>0</v>
      </c>
      <c r="F923" s="347"/>
      <c r="G923" s="347"/>
      <c r="H923" s="328">
        <v>0</v>
      </c>
      <c r="I923" s="210"/>
    </row>
    <row r="924" spans="1:9">
      <c r="A924" s="395">
        <v>8</v>
      </c>
      <c r="B924" s="792">
        <v>335200100203000</v>
      </c>
      <c r="C924" s="313" t="s">
        <v>2524</v>
      </c>
      <c r="D924" s="322"/>
      <c r="E924" s="328">
        <f t="shared" si="15"/>
        <v>417475.84000000003</v>
      </c>
      <c r="F924" s="347">
        <v>417475.84000000003</v>
      </c>
      <c r="G924" s="347"/>
      <c r="H924" s="328">
        <v>415868.81</v>
      </c>
      <c r="I924" s="210"/>
    </row>
    <row r="925" spans="1:9" ht="24">
      <c r="A925" s="396">
        <v>7</v>
      </c>
      <c r="B925" s="795">
        <v>3352001003000</v>
      </c>
      <c r="C925" s="316" t="s">
        <v>2525</v>
      </c>
      <c r="D925" s="324"/>
      <c r="E925" s="353"/>
      <c r="F925" s="353"/>
      <c r="G925" s="353"/>
      <c r="H925" s="353">
        <v>0</v>
      </c>
      <c r="I925" s="210"/>
    </row>
    <row r="926" spans="1:9" ht="24">
      <c r="A926" s="395">
        <v>8</v>
      </c>
      <c r="B926" s="792">
        <v>335200100301000</v>
      </c>
      <c r="C926" s="313" t="s">
        <v>2526</v>
      </c>
      <c r="D926" s="322"/>
      <c r="E926" s="328">
        <f t="shared" si="15"/>
        <v>96743.65</v>
      </c>
      <c r="F926" s="347">
        <v>96743.65</v>
      </c>
      <c r="G926" s="347"/>
      <c r="H926" s="328">
        <v>54884.75</v>
      </c>
      <c r="I926" s="210"/>
    </row>
    <row r="927" spans="1:9" ht="24">
      <c r="A927" s="395">
        <v>8</v>
      </c>
      <c r="B927" s="792">
        <v>335200100302000</v>
      </c>
      <c r="C927" s="313" t="s">
        <v>2527</v>
      </c>
      <c r="D927" s="322"/>
      <c r="E927" s="328">
        <f t="shared" si="15"/>
        <v>103161.97</v>
      </c>
      <c r="F927" s="347">
        <v>103161.97</v>
      </c>
      <c r="G927" s="347"/>
      <c r="H927" s="328">
        <v>75986.67</v>
      </c>
      <c r="I927" s="210"/>
    </row>
    <row r="928" spans="1:9" ht="24">
      <c r="A928" s="395">
        <v>8</v>
      </c>
      <c r="B928" s="792">
        <v>335200100303000</v>
      </c>
      <c r="C928" s="313" t="s">
        <v>2528</v>
      </c>
      <c r="D928" s="322"/>
      <c r="E928" s="328">
        <f t="shared" si="15"/>
        <v>56451.95</v>
      </c>
      <c r="F928" s="347">
        <v>56451.95</v>
      </c>
      <c r="G928" s="347"/>
      <c r="H928" s="328">
        <v>101302.55</v>
      </c>
      <c r="I928" s="210"/>
    </row>
    <row r="929" spans="1:9" ht="24">
      <c r="A929" s="395">
        <v>7</v>
      </c>
      <c r="B929" s="792">
        <v>335200100400000</v>
      </c>
      <c r="C929" s="313" t="s">
        <v>2529</v>
      </c>
      <c r="D929" s="322"/>
      <c r="E929" s="328">
        <f t="shared" si="15"/>
        <v>0</v>
      </c>
      <c r="F929" s="347"/>
      <c r="G929" s="347"/>
      <c r="H929" s="328">
        <v>0</v>
      </c>
      <c r="I929" s="210"/>
    </row>
    <row r="930" spans="1:9" ht="24">
      <c r="A930" s="395">
        <v>7</v>
      </c>
      <c r="B930" s="792">
        <v>335200100500000</v>
      </c>
      <c r="C930" s="313" t="s">
        <v>2530</v>
      </c>
      <c r="D930" s="322"/>
      <c r="E930" s="328">
        <f t="shared" si="15"/>
        <v>0</v>
      </c>
      <c r="F930" s="347"/>
      <c r="G930" s="347"/>
      <c r="H930" s="328">
        <v>0</v>
      </c>
      <c r="I930" s="210"/>
    </row>
    <row r="931" spans="1:9" ht="24">
      <c r="A931" s="395">
        <v>7</v>
      </c>
      <c r="B931" s="792">
        <v>335200100600000</v>
      </c>
      <c r="C931" s="313" t="s">
        <v>2531</v>
      </c>
      <c r="D931" s="322"/>
      <c r="E931" s="328">
        <f t="shared" si="15"/>
        <v>4939.37</v>
      </c>
      <c r="F931" s="347">
        <v>4939.37</v>
      </c>
      <c r="G931" s="347"/>
      <c r="H931" s="328">
        <v>9889.0300000000007</v>
      </c>
      <c r="I931" s="210"/>
    </row>
    <row r="932" spans="1:9" ht="24">
      <c r="A932" s="395">
        <v>7</v>
      </c>
      <c r="B932" s="792">
        <v>335200100900000</v>
      </c>
      <c r="C932" s="313" t="s">
        <v>2532</v>
      </c>
      <c r="D932" s="322"/>
      <c r="E932" s="328">
        <f t="shared" si="15"/>
        <v>1008528.89</v>
      </c>
      <c r="F932" s="347">
        <v>1008528.89</v>
      </c>
      <c r="G932" s="347"/>
      <c r="H932" s="328">
        <v>811815.56</v>
      </c>
      <c r="I932" s="210"/>
    </row>
    <row r="933" spans="1:9" ht="25.5">
      <c r="A933" s="394">
        <v>6</v>
      </c>
      <c r="B933" s="793" t="s">
        <v>951</v>
      </c>
      <c r="C933" s="310" t="s">
        <v>1643</v>
      </c>
      <c r="D933" s="321"/>
      <c r="E933" s="352"/>
      <c r="F933" s="352"/>
      <c r="G933" s="352"/>
      <c r="H933" s="352">
        <v>0</v>
      </c>
    </row>
    <row r="934" spans="1:9" ht="24">
      <c r="A934" s="395">
        <v>7</v>
      </c>
      <c r="B934" s="792">
        <v>335200200100000</v>
      </c>
      <c r="C934" s="313" t="s">
        <v>2533</v>
      </c>
      <c r="D934" s="322"/>
      <c r="E934" s="328">
        <f t="shared" si="15"/>
        <v>281305.63</v>
      </c>
      <c r="F934" s="347">
        <v>281305.63</v>
      </c>
      <c r="G934" s="347"/>
      <c r="H934" s="328">
        <v>425926.91</v>
      </c>
      <c r="I934" s="210"/>
    </row>
    <row r="935" spans="1:9" ht="24">
      <c r="A935" s="396">
        <v>7</v>
      </c>
      <c r="B935" s="795">
        <v>3352002002000</v>
      </c>
      <c r="C935" s="316" t="s">
        <v>2534</v>
      </c>
      <c r="D935" s="324"/>
      <c r="E935" s="353"/>
      <c r="F935" s="353"/>
      <c r="G935" s="353"/>
      <c r="H935" s="353">
        <v>0</v>
      </c>
      <c r="I935" s="210"/>
    </row>
    <row r="936" spans="1:9" ht="24">
      <c r="A936" s="395">
        <v>8</v>
      </c>
      <c r="B936" s="792">
        <v>335200200201000</v>
      </c>
      <c r="C936" s="313" t="s">
        <v>2535</v>
      </c>
      <c r="D936" s="322"/>
      <c r="E936" s="328">
        <f t="shared" si="15"/>
        <v>670.83</v>
      </c>
      <c r="F936" s="347">
        <v>670.83</v>
      </c>
      <c r="G936" s="347"/>
      <c r="H936" s="328">
        <v>1032</v>
      </c>
      <c r="I936" s="210"/>
    </row>
    <row r="937" spans="1:9" ht="24">
      <c r="A937" s="395">
        <v>8</v>
      </c>
      <c r="B937" s="792">
        <v>335200200202000</v>
      </c>
      <c r="C937" s="313" t="s">
        <v>2536</v>
      </c>
      <c r="D937" s="322"/>
      <c r="E937" s="328">
        <f t="shared" si="15"/>
        <v>0</v>
      </c>
      <c r="F937" s="347"/>
      <c r="G937" s="347"/>
      <c r="H937" s="328">
        <v>0</v>
      </c>
      <c r="I937" s="210"/>
    </row>
    <row r="938" spans="1:9">
      <c r="A938" s="395">
        <v>8</v>
      </c>
      <c r="B938" s="792">
        <v>335200200203000</v>
      </c>
      <c r="C938" s="313" t="s">
        <v>2537</v>
      </c>
      <c r="D938" s="322"/>
      <c r="E938" s="328">
        <f t="shared" si="15"/>
        <v>17841</v>
      </c>
      <c r="F938" s="347">
        <v>17841</v>
      </c>
      <c r="G938" s="347"/>
      <c r="H938" s="328">
        <v>15236.73</v>
      </c>
      <c r="I938" s="210"/>
    </row>
    <row r="939" spans="1:9" ht="24">
      <c r="A939" s="396">
        <v>7</v>
      </c>
      <c r="B939" s="795">
        <v>3352002003000</v>
      </c>
      <c r="C939" s="316" t="s">
        <v>2538</v>
      </c>
      <c r="D939" s="324"/>
      <c r="E939" s="353"/>
      <c r="F939" s="353"/>
      <c r="G939" s="353"/>
      <c r="H939" s="353">
        <v>0</v>
      </c>
      <c r="I939" s="210"/>
    </row>
    <row r="940" spans="1:9" ht="24">
      <c r="A940" s="395">
        <v>8</v>
      </c>
      <c r="B940" s="792">
        <v>335200200301000</v>
      </c>
      <c r="C940" s="313" t="s">
        <v>2539</v>
      </c>
      <c r="D940" s="322"/>
      <c r="E940" s="328">
        <f t="shared" si="15"/>
        <v>4209.99</v>
      </c>
      <c r="F940" s="347">
        <v>4209.99</v>
      </c>
      <c r="G940" s="347"/>
      <c r="H940" s="328">
        <v>1692.24</v>
      </c>
      <c r="I940" s="210"/>
    </row>
    <row r="941" spans="1:9" ht="24">
      <c r="A941" s="395">
        <v>8</v>
      </c>
      <c r="B941" s="792">
        <v>335200200302000</v>
      </c>
      <c r="C941" s="313" t="s">
        <v>2540</v>
      </c>
      <c r="D941" s="322"/>
      <c r="E941" s="328">
        <f t="shared" si="15"/>
        <v>0</v>
      </c>
      <c r="F941" s="347"/>
      <c r="G941" s="347"/>
      <c r="H941" s="328">
        <v>0</v>
      </c>
      <c r="I941" s="210"/>
    </row>
    <row r="942" spans="1:9" ht="24">
      <c r="A942" s="395">
        <v>8</v>
      </c>
      <c r="B942" s="792">
        <v>335200200303000</v>
      </c>
      <c r="C942" s="313" t="s">
        <v>2541</v>
      </c>
      <c r="D942" s="322"/>
      <c r="E942" s="328">
        <f t="shared" si="15"/>
        <v>6724.79</v>
      </c>
      <c r="F942" s="347">
        <v>6724.79</v>
      </c>
      <c r="G942" s="347"/>
      <c r="H942" s="328">
        <v>15337.66</v>
      </c>
      <c r="I942" s="210"/>
    </row>
    <row r="943" spans="1:9" ht="24">
      <c r="A943" s="395">
        <v>7</v>
      </c>
      <c r="B943" s="792">
        <v>335200200400000</v>
      </c>
      <c r="C943" s="313" t="s">
        <v>2542</v>
      </c>
      <c r="D943" s="322"/>
      <c r="E943" s="328">
        <f t="shared" si="15"/>
        <v>0</v>
      </c>
      <c r="F943" s="347"/>
      <c r="G943" s="347"/>
      <c r="H943" s="328">
        <v>0</v>
      </c>
      <c r="I943" s="210"/>
    </row>
    <row r="944" spans="1:9" ht="24">
      <c r="A944" s="395">
        <v>7</v>
      </c>
      <c r="B944" s="792">
        <v>335200200500000</v>
      </c>
      <c r="C944" s="313" t="s">
        <v>2543</v>
      </c>
      <c r="D944" s="322"/>
      <c r="E944" s="328">
        <f t="shared" si="15"/>
        <v>0</v>
      </c>
      <c r="F944" s="347"/>
      <c r="G944" s="347"/>
      <c r="H944" s="328">
        <v>0</v>
      </c>
      <c r="I944" s="210"/>
    </row>
    <row r="945" spans="1:9" ht="24">
      <c r="A945" s="395">
        <v>7</v>
      </c>
      <c r="B945" s="792">
        <v>335200200600000</v>
      </c>
      <c r="C945" s="313" t="s">
        <v>2544</v>
      </c>
      <c r="D945" s="322"/>
      <c r="E945" s="328">
        <f t="shared" si="15"/>
        <v>3436.82</v>
      </c>
      <c r="F945" s="347">
        <v>3436.82</v>
      </c>
      <c r="G945" s="347"/>
      <c r="H945" s="328">
        <v>27494.26</v>
      </c>
      <c r="I945" s="210"/>
    </row>
    <row r="946" spans="1:9" ht="24">
      <c r="A946" s="395">
        <v>7</v>
      </c>
      <c r="B946" s="792">
        <v>335200200900000</v>
      </c>
      <c r="C946" s="313" t="s">
        <v>2545</v>
      </c>
      <c r="D946" s="322"/>
      <c r="E946" s="328">
        <f t="shared" si="15"/>
        <v>96178.17</v>
      </c>
      <c r="F946" s="347">
        <v>96178.17</v>
      </c>
      <c r="G946" s="347"/>
      <c r="H946" s="328">
        <v>149318.34</v>
      </c>
      <c r="I946" s="210"/>
    </row>
    <row r="947" spans="1:9" ht="25.5">
      <c r="A947" s="394">
        <v>6</v>
      </c>
      <c r="B947" s="793" t="s">
        <v>953</v>
      </c>
      <c r="C947" s="310" t="s">
        <v>1644</v>
      </c>
      <c r="D947" s="321"/>
      <c r="E947" s="352"/>
      <c r="F947" s="352"/>
      <c r="G947" s="352"/>
      <c r="H947" s="352">
        <v>0</v>
      </c>
    </row>
    <row r="948" spans="1:9">
      <c r="A948" s="395">
        <v>7</v>
      </c>
      <c r="B948" s="792">
        <v>335200300000000</v>
      </c>
      <c r="C948" s="313" t="s">
        <v>952</v>
      </c>
      <c r="D948" s="322"/>
      <c r="E948" s="328">
        <f t="shared" si="15"/>
        <v>0</v>
      </c>
      <c r="F948" s="347"/>
      <c r="G948" s="347"/>
      <c r="H948" s="328">
        <v>0</v>
      </c>
      <c r="I948" s="210"/>
    </row>
    <row r="949" spans="1:9">
      <c r="A949" s="394" t="s">
        <v>1963</v>
      </c>
      <c r="B949" s="793" t="s">
        <v>954</v>
      </c>
      <c r="C949" s="310" t="s">
        <v>2546</v>
      </c>
      <c r="D949" s="321"/>
      <c r="E949" s="352"/>
      <c r="F949" s="352"/>
      <c r="G949" s="352"/>
      <c r="H949" s="352">
        <v>0</v>
      </c>
    </row>
    <row r="950" spans="1:9">
      <c r="A950" s="394" t="s">
        <v>1965</v>
      </c>
      <c r="B950" s="793" t="s">
        <v>955</v>
      </c>
      <c r="C950" s="310" t="s">
        <v>2547</v>
      </c>
      <c r="D950" s="321"/>
      <c r="E950" s="352"/>
      <c r="F950" s="352"/>
      <c r="G950" s="352"/>
      <c r="H950" s="352">
        <v>0</v>
      </c>
    </row>
    <row r="951" spans="1:9">
      <c r="A951" s="395">
        <v>5</v>
      </c>
      <c r="B951" s="792">
        <v>340100100000000</v>
      </c>
      <c r="C951" s="313" t="s">
        <v>956</v>
      </c>
      <c r="D951" s="322"/>
      <c r="E951" s="328">
        <f t="shared" si="15"/>
        <v>3049</v>
      </c>
      <c r="F951" s="347">
        <v>3049</v>
      </c>
      <c r="G951" s="347"/>
      <c r="H951" s="328">
        <v>2632.5</v>
      </c>
      <c r="I951" s="210"/>
    </row>
    <row r="952" spans="1:9">
      <c r="A952" s="395">
        <v>5</v>
      </c>
      <c r="B952" s="792">
        <v>340100200000000</v>
      </c>
      <c r="C952" s="313" t="s">
        <v>957</v>
      </c>
      <c r="D952" s="322"/>
      <c r="E952" s="328">
        <f t="shared" si="15"/>
        <v>32177.98</v>
      </c>
      <c r="F952" s="347">
        <v>32177.98</v>
      </c>
      <c r="G952" s="347"/>
      <c r="H952" s="328">
        <v>31230.7</v>
      </c>
      <c r="I952" s="210"/>
    </row>
    <row r="953" spans="1:9">
      <c r="A953" s="395">
        <v>5</v>
      </c>
      <c r="B953" s="792">
        <v>340100300000000</v>
      </c>
      <c r="C953" s="313" t="s">
        <v>958</v>
      </c>
      <c r="D953" s="322"/>
      <c r="E953" s="328">
        <f t="shared" si="15"/>
        <v>0</v>
      </c>
      <c r="F953" s="347"/>
      <c r="G953" s="347"/>
      <c r="H953" s="328">
        <v>0</v>
      </c>
      <c r="I953" s="210"/>
    </row>
    <row r="954" spans="1:9">
      <c r="A954" s="395">
        <v>5</v>
      </c>
      <c r="B954" s="792">
        <v>340100400000000</v>
      </c>
      <c r="C954" s="313" t="s">
        <v>959</v>
      </c>
      <c r="D954" s="322"/>
      <c r="E954" s="328">
        <f t="shared" ref="E954:E1017" si="16">+F954+G954</f>
        <v>16413.900000000001</v>
      </c>
      <c r="F954" s="348">
        <v>16413.900000000001</v>
      </c>
      <c r="G954" s="348"/>
      <c r="H954" s="328">
        <v>22330</v>
      </c>
      <c r="I954" s="210"/>
    </row>
    <row r="955" spans="1:9">
      <c r="A955" s="395">
        <v>5</v>
      </c>
      <c r="B955" s="792">
        <v>340100500000000</v>
      </c>
      <c r="C955" s="313" t="s">
        <v>960</v>
      </c>
      <c r="D955" s="322"/>
      <c r="E955" s="328">
        <f t="shared" si="16"/>
        <v>871.51</v>
      </c>
      <c r="F955" s="347">
        <v>871.51</v>
      </c>
      <c r="G955" s="347"/>
      <c r="H955" s="328">
        <v>778.8</v>
      </c>
      <c r="I955" s="210"/>
    </row>
    <row r="956" spans="1:9">
      <c r="A956" s="395">
        <v>5</v>
      </c>
      <c r="B956" s="792">
        <v>340100600000000</v>
      </c>
      <c r="C956" s="313" t="s">
        <v>961</v>
      </c>
      <c r="D956" s="322"/>
      <c r="E956" s="328">
        <f t="shared" si="16"/>
        <v>0</v>
      </c>
      <c r="F956" s="347"/>
      <c r="G956" s="347"/>
      <c r="H956" s="328">
        <v>0</v>
      </c>
      <c r="I956" s="210"/>
    </row>
    <row r="957" spans="1:9">
      <c r="A957" s="395">
        <v>5</v>
      </c>
      <c r="B957" s="792">
        <v>340100900000000</v>
      </c>
      <c r="C957" s="313" t="s">
        <v>962</v>
      </c>
      <c r="D957" s="322"/>
      <c r="E957" s="328">
        <f t="shared" si="16"/>
        <v>23713.55</v>
      </c>
      <c r="F957" s="347">
        <v>23713.55</v>
      </c>
      <c r="G957" s="347"/>
      <c r="H957" s="328">
        <v>9513.65</v>
      </c>
      <c r="I957" s="210"/>
    </row>
    <row r="958" spans="1:9">
      <c r="A958" s="394" t="s">
        <v>1965</v>
      </c>
      <c r="B958" s="793" t="s">
        <v>964</v>
      </c>
      <c r="C958" s="310" t="s">
        <v>2548</v>
      </c>
      <c r="D958" s="321"/>
      <c r="E958" s="352"/>
      <c r="F958" s="352"/>
      <c r="G958" s="352"/>
      <c r="H958" s="352">
        <v>0</v>
      </c>
    </row>
    <row r="959" spans="1:9">
      <c r="A959" s="395" t="s">
        <v>1967</v>
      </c>
      <c r="B959" s="792">
        <v>340200000000000</v>
      </c>
      <c r="C959" s="313" t="s">
        <v>963</v>
      </c>
      <c r="D959" s="322"/>
      <c r="E959" s="328">
        <f t="shared" si="16"/>
        <v>0</v>
      </c>
      <c r="F959" s="347"/>
      <c r="G959" s="347"/>
      <c r="H959" s="328">
        <v>0</v>
      </c>
      <c r="I959" s="210"/>
    </row>
    <row r="960" spans="1:9">
      <c r="A960" s="394" t="s">
        <v>1965</v>
      </c>
      <c r="B960" s="793" t="s">
        <v>966</v>
      </c>
      <c r="C960" s="310" t="s">
        <v>1648</v>
      </c>
      <c r="D960" s="321"/>
      <c r="E960" s="352"/>
      <c r="F960" s="352"/>
      <c r="G960" s="352"/>
      <c r="H960" s="352">
        <v>0</v>
      </c>
    </row>
    <row r="961" spans="1:9" ht="25.5">
      <c r="A961" s="394" t="s">
        <v>1967</v>
      </c>
      <c r="B961" s="793" t="s">
        <v>967</v>
      </c>
      <c r="C961" s="310" t="s">
        <v>2549</v>
      </c>
      <c r="D961" s="321"/>
      <c r="E961" s="352"/>
      <c r="F961" s="352"/>
      <c r="G961" s="352"/>
      <c r="H961" s="352">
        <v>0</v>
      </c>
    </row>
    <row r="962" spans="1:9">
      <c r="A962" s="397">
        <v>6</v>
      </c>
      <c r="B962" s="795">
        <v>3403001001000</v>
      </c>
      <c r="C962" s="316" t="s">
        <v>968</v>
      </c>
      <c r="D962" s="323"/>
      <c r="E962" s="349"/>
      <c r="F962" s="349"/>
      <c r="G962" s="349"/>
      <c r="H962" s="349">
        <v>0</v>
      </c>
      <c r="I962" s="210"/>
    </row>
    <row r="963" spans="1:9">
      <c r="A963" s="395">
        <v>7</v>
      </c>
      <c r="B963" s="792">
        <v>340300100101000</v>
      </c>
      <c r="C963" s="313" t="s">
        <v>2550</v>
      </c>
      <c r="D963" s="322"/>
      <c r="E963" s="328">
        <f t="shared" si="16"/>
        <v>551576.05000000005</v>
      </c>
      <c r="F963" s="347">
        <v>551576.05000000005</v>
      </c>
      <c r="G963" s="347"/>
      <c r="H963" s="328">
        <v>623880.01</v>
      </c>
      <c r="I963" s="210"/>
    </row>
    <row r="964" spans="1:9">
      <c r="A964" s="395">
        <v>7</v>
      </c>
      <c r="B964" s="792">
        <v>340300100103000</v>
      </c>
      <c r="C964" s="313" t="s">
        <v>2551</v>
      </c>
      <c r="D964" s="322"/>
      <c r="E964" s="328">
        <f t="shared" si="16"/>
        <v>137367.26</v>
      </c>
      <c r="F964" s="347">
        <v>137367.26</v>
      </c>
      <c r="G964" s="347"/>
      <c r="H964" s="328">
        <v>167181.26</v>
      </c>
      <c r="I964" s="210"/>
    </row>
    <row r="965" spans="1:9">
      <c r="A965" s="395">
        <v>7</v>
      </c>
      <c r="B965" s="792">
        <v>340300100109000</v>
      </c>
      <c r="C965" s="313" t="s">
        <v>969</v>
      </c>
      <c r="D965" s="322"/>
      <c r="E965" s="328">
        <f t="shared" si="16"/>
        <v>9317.5300000000007</v>
      </c>
      <c r="F965" s="347">
        <v>9317.5300000000007</v>
      </c>
      <c r="G965" s="347"/>
      <c r="H965" s="328">
        <v>1840.82</v>
      </c>
      <c r="I965" s="210"/>
    </row>
    <row r="966" spans="1:9">
      <c r="A966" s="397">
        <v>6</v>
      </c>
      <c r="B966" s="795">
        <v>3403001002000</v>
      </c>
      <c r="C966" s="316" t="s">
        <v>970</v>
      </c>
      <c r="D966" s="323"/>
      <c r="E966" s="349"/>
      <c r="F966" s="349"/>
      <c r="G966" s="349"/>
      <c r="H966" s="349">
        <v>0</v>
      </c>
      <c r="I966" s="210"/>
    </row>
    <row r="967" spans="1:9">
      <c r="A967" s="395">
        <v>7</v>
      </c>
      <c r="B967" s="792">
        <v>340300100201000</v>
      </c>
      <c r="C967" s="313" t="s">
        <v>2552</v>
      </c>
      <c r="D967" s="322"/>
      <c r="E967" s="328">
        <f t="shared" si="16"/>
        <v>58742.04</v>
      </c>
      <c r="F967" s="347">
        <v>58742.04</v>
      </c>
      <c r="G967" s="347"/>
      <c r="H967" s="328">
        <v>58742.04</v>
      </c>
      <c r="I967" s="210"/>
    </row>
    <row r="968" spans="1:9">
      <c r="A968" s="395">
        <v>7</v>
      </c>
      <c r="B968" s="792">
        <v>340300100203000</v>
      </c>
      <c r="C968" s="313" t="s">
        <v>2553</v>
      </c>
      <c r="D968" s="322"/>
      <c r="E968" s="328">
        <f t="shared" si="16"/>
        <v>0</v>
      </c>
      <c r="F968" s="347"/>
      <c r="G968" s="347"/>
      <c r="H968" s="328">
        <v>0</v>
      </c>
      <c r="I968" s="210"/>
    </row>
    <row r="969" spans="1:9">
      <c r="A969" s="395">
        <v>7</v>
      </c>
      <c r="B969" s="792">
        <v>340300100209000</v>
      </c>
      <c r="C969" s="313" t="s">
        <v>971</v>
      </c>
      <c r="D969" s="322"/>
      <c r="E969" s="328">
        <f t="shared" si="16"/>
        <v>675</v>
      </c>
      <c r="F969" s="347">
        <v>675</v>
      </c>
      <c r="G969" s="347"/>
      <c r="H969" s="328">
        <v>2256.25</v>
      </c>
      <c r="I969" s="210"/>
    </row>
    <row r="970" spans="1:9">
      <c r="A970" s="397">
        <v>6</v>
      </c>
      <c r="B970" s="795">
        <v>3403001003000</v>
      </c>
      <c r="C970" s="316" t="s">
        <v>972</v>
      </c>
      <c r="D970" s="323"/>
      <c r="E970" s="349"/>
      <c r="F970" s="349"/>
      <c r="G970" s="349"/>
      <c r="H970" s="349">
        <v>0</v>
      </c>
      <c r="I970" s="210"/>
    </row>
    <row r="971" spans="1:9">
      <c r="A971" s="395">
        <v>7</v>
      </c>
      <c r="B971" s="792">
        <v>340300100301000</v>
      </c>
      <c r="C971" s="313" t="s">
        <v>2554</v>
      </c>
      <c r="D971" s="322"/>
      <c r="E971" s="328">
        <f t="shared" si="16"/>
        <v>10043.629999999999</v>
      </c>
      <c r="F971" s="347">
        <v>10043.629999999999</v>
      </c>
      <c r="G971" s="347"/>
      <c r="H971" s="328">
        <v>17400</v>
      </c>
      <c r="I971" s="210"/>
    </row>
    <row r="972" spans="1:9">
      <c r="A972" s="395">
        <v>7</v>
      </c>
      <c r="B972" s="792">
        <v>340300100303000</v>
      </c>
      <c r="C972" s="313" t="s">
        <v>2555</v>
      </c>
      <c r="D972" s="322"/>
      <c r="E972" s="328">
        <f t="shared" si="16"/>
        <v>1831.29</v>
      </c>
      <c r="F972" s="347">
        <v>1831.29</v>
      </c>
      <c r="G972" s="347"/>
      <c r="H972" s="328">
        <v>3850.99</v>
      </c>
      <c r="I972" s="210"/>
    </row>
    <row r="973" spans="1:9">
      <c r="A973" s="395">
        <v>7</v>
      </c>
      <c r="B973" s="792">
        <v>340300100309000</v>
      </c>
      <c r="C973" s="313" t="s">
        <v>973</v>
      </c>
      <c r="D973" s="322"/>
      <c r="E973" s="328">
        <f t="shared" si="16"/>
        <v>0</v>
      </c>
      <c r="F973" s="347"/>
      <c r="G973" s="347"/>
      <c r="H973" s="328">
        <v>0</v>
      </c>
      <c r="I973" s="210"/>
    </row>
    <row r="974" spans="1:9">
      <c r="A974" s="394" t="s">
        <v>1967</v>
      </c>
      <c r="B974" s="793" t="s">
        <v>974</v>
      </c>
      <c r="C974" s="310" t="s">
        <v>2556</v>
      </c>
      <c r="D974" s="321"/>
      <c r="E974" s="352"/>
      <c r="F974" s="352"/>
      <c r="G974" s="352"/>
      <c r="H974" s="352">
        <v>0</v>
      </c>
    </row>
    <row r="975" spans="1:9">
      <c r="A975" s="395">
        <v>6</v>
      </c>
      <c r="B975" s="792">
        <v>340300200100000</v>
      </c>
      <c r="C975" s="313" t="s">
        <v>975</v>
      </c>
      <c r="D975" s="322"/>
      <c r="E975" s="328">
        <f t="shared" si="16"/>
        <v>0</v>
      </c>
      <c r="F975" s="347"/>
      <c r="G975" s="347"/>
      <c r="H975" s="328">
        <v>0</v>
      </c>
      <c r="I975" s="210"/>
    </row>
    <row r="976" spans="1:9" s="216" customFormat="1">
      <c r="A976" s="395">
        <v>6</v>
      </c>
      <c r="B976" s="794">
        <v>340300200200000</v>
      </c>
      <c r="C976" s="313" t="s">
        <v>976</v>
      </c>
      <c r="D976" s="322"/>
      <c r="E976" s="328">
        <f t="shared" si="16"/>
        <v>276.32</v>
      </c>
      <c r="F976" s="347">
        <v>276.32</v>
      </c>
      <c r="G976" s="347"/>
      <c r="H976" s="328">
        <v>432.06</v>
      </c>
      <c r="I976" s="210"/>
    </row>
    <row r="977" spans="1:9" s="216" customFormat="1">
      <c r="A977" s="395">
        <v>6</v>
      </c>
      <c r="B977" s="794">
        <v>340300200900000</v>
      </c>
      <c r="C977" s="313" t="s">
        <v>965</v>
      </c>
      <c r="D977" s="322"/>
      <c r="E977" s="328">
        <f t="shared" si="16"/>
        <v>0</v>
      </c>
      <c r="F977" s="347"/>
      <c r="G977" s="347"/>
      <c r="H977" s="328">
        <v>0</v>
      </c>
      <c r="I977" s="210"/>
    </row>
    <row r="978" spans="1:9" ht="25.5">
      <c r="A978" s="394" t="s">
        <v>1967</v>
      </c>
      <c r="B978" s="793" t="s">
        <v>978</v>
      </c>
      <c r="C978" s="310" t="s">
        <v>1651</v>
      </c>
      <c r="D978" s="321" t="s">
        <v>1248</v>
      </c>
      <c r="E978" s="352"/>
      <c r="F978" s="352"/>
      <c r="G978" s="352"/>
      <c r="H978" s="352">
        <v>0</v>
      </c>
    </row>
    <row r="979" spans="1:9" ht="24">
      <c r="A979" s="395" t="s">
        <v>1969</v>
      </c>
      <c r="B979" s="792">
        <v>340300300000000</v>
      </c>
      <c r="C979" s="313" t="s">
        <v>977</v>
      </c>
      <c r="D979" s="322" t="s">
        <v>1248</v>
      </c>
      <c r="E979" s="328">
        <f t="shared" si="16"/>
        <v>0</v>
      </c>
      <c r="F979" s="347"/>
      <c r="G979" s="347"/>
      <c r="H979" s="328">
        <v>0</v>
      </c>
      <c r="I979" s="210"/>
    </row>
    <row r="980" spans="1:9" ht="25.5">
      <c r="A980" s="394" t="s">
        <v>1967</v>
      </c>
      <c r="B980" s="793" t="s">
        <v>980</v>
      </c>
      <c r="C980" s="310" t="s">
        <v>1652</v>
      </c>
      <c r="D980" s="321"/>
      <c r="E980" s="352"/>
      <c r="F980" s="352"/>
      <c r="G980" s="352"/>
      <c r="H980" s="352">
        <v>0</v>
      </c>
    </row>
    <row r="981" spans="1:9">
      <c r="A981" s="395" t="s">
        <v>1969</v>
      </c>
      <c r="B981" s="792">
        <v>340300400000000</v>
      </c>
      <c r="C981" s="313" t="s">
        <v>979</v>
      </c>
      <c r="D981" s="322"/>
      <c r="E981" s="328">
        <f t="shared" si="16"/>
        <v>0</v>
      </c>
      <c r="F981" s="347"/>
      <c r="G981" s="347"/>
      <c r="H981" s="328">
        <v>0</v>
      </c>
      <c r="I981" s="210"/>
    </row>
    <row r="982" spans="1:9">
      <c r="A982" s="394">
        <v>4</v>
      </c>
      <c r="B982" s="793" t="s">
        <v>981</v>
      </c>
      <c r="C982" s="310" t="s">
        <v>1655</v>
      </c>
      <c r="D982" s="321"/>
      <c r="E982" s="352"/>
      <c r="F982" s="352"/>
      <c r="G982" s="352"/>
      <c r="H982" s="352">
        <v>0</v>
      </c>
    </row>
    <row r="983" spans="1:9">
      <c r="A983" s="395">
        <v>5</v>
      </c>
      <c r="B983" s="792">
        <v>345100000000000</v>
      </c>
      <c r="C983" s="313" t="s">
        <v>982</v>
      </c>
      <c r="D983" s="322"/>
      <c r="E983" s="328">
        <f t="shared" si="16"/>
        <v>0</v>
      </c>
      <c r="F983" s="347"/>
      <c r="G983" s="347"/>
      <c r="H983" s="328">
        <v>0</v>
      </c>
      <c r="I983" s="210"/>
    </row>
    <row r="984" spans="1:9">
      <c r="A984" s="395">
        <v>5</v>
      </c>
      <c r="B984" s="792">
        <v>345200000000000</v>
      </c>
      <c r="C984" s="313" t="s">
        <v>983</v>
      </c>
      <c r="D984" s="322"/>
      <c r="E984" s="328">
        <f t="shared" si="16"/>
        <v>0</v>
      </c>
      <c r="F984" s="347"/>
      <c r="G984" s="347"/>
      <c r="H984" s="328">
        <v>0</v>
      </c>
      <c r="I984" s="210"/>
    </row>
    <row r="985" spans="1:9" ht="24">
      <c r="A985" s="395">
        <v>5</v>
      </c>
      <c r="B985" s="792">
        <v>345300000000000</v>
      </c>
      <c r="C985" s="313" t="s">
        <v>2557</v>
      </c>
      <c r="D985" s="322"/>
      <c r="E985" s="328">
        <f t="shared" si="16"/>
        <v>0</v>
      </c>
      <c r="F985" s="347"/>
      <c r="G985" s="347"/>
      <c r="H985" s="328">
        <v>0</v>
      </c>
      <c r="I985" s="210"/>
    </row>
    <row r="986" spans="1:9" ht="24">
      <c r="A986" s="395">
        <v>5</v>
      </c>
      <c r="B986" s="792">
        <v>345400000000000</v>
      </c>
      <c r="C986" s="313" t="s">
        <v>984</v>
      </c>
      <c r="D986" s="322"/>
      <c r="E986" s="328">
        <f t="shared" si="16"/>
        <v>0</v>
      </c>
      <c r="F986" s="347"/>
      <c r="G986" s="347"/>
      <c r="H986" s="328">
        <v>0</v>
      </c>
      <c r="I986" s="210"/>
    </row>
    <row r="987" spans="1:9">
      <c r="A987" s="395">
        <v>5</v>
      </c>
      <c r="B987" s="792">
        <v>345500000000000</v>
      </c>
      <c r="C987" s="313" t="s">
        <v>985</v>
      </c>
      <c r="D987" s="322"/>
      <c r="E987" s="328">
        <f t="shared" si="16"/>
        <v>0</v>
      </c>
      <c r="F987" s="347"/>
      <c r="G987" s="347"/>
      <c r="H987" s="328">
        <v>0</v>
      </c>
      <c r="I987" s="210"/>
    </row>
    <row r="988" spans="1:9">
      <c r="A988" s="395">
        <v>5</v>
      </c>
      <c r="B988" s="792">
        <v>345600000000000</v>
      </c>
      <c r="C988" s="313" t="s">
        <v>986</v>
      </c>
      <c r="D988" s="322"/>
      <c r="E988" s="328">
        <f t="shared" si="16"/>
        <v>0</v>
      </c>
      <c r="F988" s="347"/>
      <c r="G988" s="347"/>
      <c r="H988" s="328">
        <v>0</v>
      </c>
      <c r="I988" s="210"/>
    </row>
    <row r="989" spans="1:9">
      <c r="A989" s="395">
        <v>5</v>
      </c>
      <c r="B989" s="792">
        <v>345700000000000</v>
      </c>
      <c r="C989" s="313" t="s">
        <v>987</v>
      </c>
      <c r="D989" s="322"/>
      <c r="E989" s="328">
        <f t="shared" si="16"/>
        <v>0</v>
      </c>
      <c r="F989" s="347"/>
      <c r="G989" s="347"/>
      <c r="H989" s="328">
        <v>0</v>
      </c>
      <c r="I989" s="210"/>
    </row>
    <row r="990" spans="1:9">
      <c r="A990" s="395">
        <v>5</v>
      </c>
      <c r="B990" s="792">
        <v>345900000000000</v>
      </c>
      <c r="C990" s="313" t="s">
        <v>988</v>
      </c>
      <c r="D990" s="322"/>
      <c r="E990" s="328">
        <f t="shared" si="16"/>
        <v>3728.28</v>
      </c>
      <c r="F990" s="347">
        <v>3728.28</v>
      </c>
      <c r="G990" s="347"/>
      <c r="H990" s="328">
        <v>3904.91</v>
      </c>
      <c r="I990" s="210"/>
    </row>
    <row r="991" spans="1:9">
      <c r="A991" s="394">
        <v>4</v>
      </c>
      <c r="B991" s="793" t="s">
        <v>989</v>
      </c>
      <c r="C991" s="310" t="s">
        <v>1656</v>
      </c>
      <c r="D991" s="321"/>
      <c r="E991" s="352"/>
      <c r="F991" s="352"/>
      <c r="G991" s="352"/>
      <c r="H991" s="352">
        <v>0</v>
      </c>
    </row>
    <row r="992" spans="1:9">
      <c r="A992" s="394">
        <v>5</v>
      </c>
      <c r="B992" s="793" t="s">
        <v>990</v>
      </c>
      <c r="C992" s="310" t="s">
        <v>1657</v>
      </c>
      <c r="D992" s="321"/>
      <c r="E992" s="352"/>
      <c r="F992" s="352"/>
      <c r="G992" s="352"/>
      <c r="H992" s="352">
        <v>0</v>
      </c>
    </row>
    <row r="993" spans="1:9" ht="25.5">
      <c r="A993" s="394">
        <v>6</v>
      </c>
      <c r="B993" s="793" t="s">
        <v>992</v>
      </c>
      <c r="C993" s="310" t="s">
        <v>1658</v>
      </c>
      <c r="D993" s="321"/>
      <c r="E993" s="352"/>
      <c r="F993" s="352"/>
      <c r="G993" s="352"/>
      <c r="H993" s="352">
        <v>0</v>
      </c>
    </row>
    <row r="994" spans="1:9">
      <c r="A994" s="395">
        <v>7</v>
      </c>
      <c r="B994" s="792">
        <v>350100100000000</v>
      </c>
      <c r="C994" s="313" t="s">
        <v>991</v>
      </c>
      <c r="D994" s="322"/>
      <c r="E994" s="328">
        <f t="shared" si="16"/>
        <v>0</v>
      </c>
      <c r="F994" s="347"/>
      <c r="G994" s="347"/>
      <c r="H994" s="328">
        <v>0</v>
      </c>
      <c r="I994" s="210"/>
    </row>
    <row r="995" spans="1:9">
      <c r="A995" s="394">
        <v>6</v>
      </c>
      <c r="B995" s="793" t="s">
        <v>994</v>
      </c>
      <c r="C995" s="310" t="s">
        <v>1659</v>
      </c>
      <c r="D995" s="321"/>
      <c r="E995" s="352"/>
      <c r="F995" s="352"/>
      <c r="G995" s="352"/>
      <c r="H995" s="352">
        <v>0</v>
      </c>
    </row>
    <row r="996" spans="1:9">
      <c r="A996" s="395">
        <v>7</v>
      </c>
      <c r="B996" s="792">
        <v>350100200000000</v>
      </c>
      <c r="C996" s="313" t="s">
        <v>993</v>
      </c>
      <c r="D996" s="322"/>
      <c r="E996" s="328">
        <f t="shared" si="16"/>
        <v>0</v>
      </c>
      <c r="F996" s="347"/>
      <c r="G996" s="347"/>
      <c r="H996" s="328">
        <v>0</v>
      </c>
      <c r="I996" s="210"/>
    </row>
    <row r="997" spans="1:9">
      <c r="A997" s="394">
        <v>5</v>
      </c>
      <c r="B997" s="793" t="s">
        <v>995</v>
      </c>
      <c r="C997" s="310" t="s">
        <v>1660</v>
      </c>
      <c r="D997" s="321"/>
      <c r="E997" s="352"/>
      <c r="F997" s="352"/>
      <c r="G997" s="352"/>
      <c r="H997" s="352">
        <v>0</v>
      </c>
    </row>
    <row r="998" spans="1:9">
      <c r="A998" s="395">
        <v>6</v>
      </c>
      <c r="B998" s="792">
        <v>350200100000000</v>
      </c>
      <c r="C998" s="313" t="s">
        <v>996</v>
      </c>
      <c r="D998" s="322"/>
      <c r="E998" s="328">
        <f t="shared" si="16"/>
        <v>22875</v>
      </c>
      <c r="F998" s="347">
        <v>22875</v>
      </c>
      <c r="G998" s="347"/>
      <c r="H998" s="328">
        <v>26781.39</v>
      </c>
      <c r="I998" s="210"/>
    </row>
    <row r="999" spans="1:9">
      <c r="A999" s="395">
        <v>6</v>
      </c>
      <c r="B999" s="792">
        <v>350200200000000</v>
      </c>
      <c r="C999" s="313" t="s">
        <v>997</v>
      </c>
      <c r="D999" s="322"/>
      <c r="E999" s="328">
        <f t="shared" si="16"/>
        <v>23668.71</v>
      </c>
      <c r="F999" s="347">
        <v>23668.71</v>
      </c>
      <c r="G999" s="347"/>
      <c r="H999" s="328">
        <v>31187.05</v>
      </c>
      <c r="I999" s="210"/>
    </row>
    <row r="1000" spans="1:9">
      <c r="A1000" s="395">
        <v>6</v>
      </c>
      <c r="B1000" s="792">
        <v>350200300000000</v>
      </c>
      <c r="C1000" s="313" t="s">
        <v>998</v>
      </c>
      <c r="D1000" s="322"/>
      <c r="E1000" s="328">
        <f t="shared" si="16"/>
        <v>29340.47</v>
      </c>
      <c r="F1000" s="347">
        <v>29340.47</v>
      </c>
      <c r="G1000" s="347"/>
      <c r="H1000" s="328">
        <v>23697.95</v>
      </c>
      <c r="I1000" s="210"/>
    </row>
    <row r="1001" spans="1:9">
      <c r="A1001" s="395">
        <v>6</v>
      </c>
      <c r="B1001" s="792">
        <v>350200400000000</v>
      </c>
      <c r="C1001" s="313" t="s">
        <v>999</v>
      </c>
      <c r="D1001" s="322"/>
      <c r="E1001" s="328">
        <f t="shared" si="16"/>
        <v>1006.82</v>
      </c>
      <c r="F1001" s="347">
        <v>1006.82</v>
      </c>
      <c r="G1001" s="347"/>
      <c r="H1001" s="328">
        <v>2013.65</v>
      </c>
      <c r="I1001" s="210"/>
    </row>
    <row r="1002" spans="1:9">
      <c r="A1002" s="395">
        <v>6</v>
      </c>
      <c r="B1002" s="792">
        <v>350200500000000</v>
      </c>
      <c r="C1002" s="313" t="s">
        <v>1000</v>
      </c>
      <c r="D1002" s="322"/>
      <c r="E1002" s="328">
        <f t="shared" si="16"/>
        <v>107815.49</v>
      </c>
      <c r="F1002" s="347">
        <v>107815.49</v>
      </c>
      <c r="G1002" s="347"/>
      <c r="H1002" s="328">
        <v>77676.33</v>
      </c>
      <c r="I1002" s="210"/>
    </row>
    <row r="1003" spans="1:9">
      <c r="A1003" s="394" t="s">
        <v>1963</v>
      </c>
      <c r="B1003" s="793" t="s">
        <v>1001</v>
      </c>
      <c r="C1003" s="310" t="s">
        <v>1661</v>
      </c>
      <c r="D1003" s="321"/>
      <c r="E1003" s="352"/>
      <c r="F1003" s="352"/>
      <c r="G1003" s="352"/>
      <c r="H1003" s="352">
        <v>0</v>
      </c>
    </row>
    <row r="1004" spans="1:9" ht="25.5">
      <c r="A1004" s="394" t="s">
        <v>1965</v>
      </c>
      <c r="B1004" s="793" t="s">
        <v>1002</v>
      </c>
      <c r="C1004" s="310" t="s">
        <v>1662</v>
      </c>
      <c r="D1004" s="321"/>
      <c r="E1004" s="352"/>
      <c r="F1004" s="352"/>
      <c r="G1004" s="352"/>
      <c r="H1004" s="352">
        <v>0</v>
      </c>
    </row>
    <row r="1005" spans="1:9">
      <c r="A1005" s="396">
        <v>5</v>
      </c>
      <c r="B1005" s="795">
        <v>3551001000000</v>
      </c>
      <c r="C1005" s="316" t="s">
        <v>1003</v>
      </c>
      <c r="D1005" s="325"/>
      <c r="E1005" s="330"/>
      <c r="F1005" s="349"/>
      <c r="G1005" s="349"/>
      <c r="H1005" s="330">
        <v>0</v>
      </c>
      <c r="I1005" s="210"/>
    </row>
    <row r="1006" spans="1:9">
      <c r="A1006" s="395">
        <v>6</v>
      </c>
      <c r="B1006" s="792">
        <v>355100100100000</v>
      </c>
      <c r="C1006" s="313" t="s">
        <v>1004</v>
      </c>
      <c r="D1006" s="322"/>
      <c r="E1006" s="328">
        <f t="shared" si="16"/>
        <v>0</v>
      </c>
      <c r="F1006" s="347"/>
      <c r="G1006" s="347"/>
      <c r="H1006" s="328">
        <v>0</v>
      </c>
      <c r="I1006" s="210"/>
    </row>
    <row r="1007" spans="1:9">
      <c r="A1007" s="395">
        <v>6</v>
      </c>
      <c r="B1007" s="792">
        <v>355100100200000</v>
      </c>
      <c r="C1007" s="313" t="s">
        <v>1005</v>
      </c>
      <c r="D1007" s="322"/>
      <c r="E1007" s="328">
        <f t="shared" si="16"/>
        <v>0</v>
      </c>
      <c r="F1007" s="347"/>
      <c r="G1007" s="347"/>
      <c r="H1007" s="328">
        <v>0</v>
      </c>
      <c r="I1007" s="210"/>
    </row>
    <row r="1008" spans="1:9" ht="24">
      <c r="A1008" s="395">
        <v>6</v>
      </c>
      <c r="B1008" s="792">
        <v>355100100300000</v>
      </c>
      <c r="C1008" s="313" t="s">
        <v>1006</v>
      </c>
      <c r="D1008" s="322"/>
      <c r="E1008" s="328">
        <f t="shared" si="16"/>
        <v>0</v>
      </c>
      <c r="F1008" s="347"/>
      <c r="G1008" s="347"/>
      <c r="H1008" s="328">
        <v>0</v>
      </c>
      <c r="I1008" s="210"/>
    </row>
    <row r="1009" spans="1:9">
      <c r="A1009" s="395">
        <v>6</v>
      </c>
      <c r="B1009" s="792">
        <v>355100100400000</v>
      </c>
      <c r="C1009" s="313" t="s">
        <v>1007</v>
      </c>
      <c r="D1009" s="322"/>
      <c r="E1009" s="328">
        <f t="shared" si="16"/>
        <v>0</v>
      </c>
      <c r="F1009" s="347"/>
      <c r="G1009" s="347"/>
      <c r="H1009" s="328">
        <v>0</v>
      </c>
      <c r="I1009" s="210"/>
    </row>
    <row r="1010" spans="1:9">
      <c r="A1010" s="396">
        <v>5</v>
      </c>
      <c r="B1010" s="795">
        <v>3551002000000</v>
      </c>
      <c r="C1010" s="316" t="s">
        <v>1008</v>
      </c>
      <c r="D1010" s="325"/>
      <c r="E1010" s="330"/>
      <c r="F1010" s="349"/>
      <c r="G1010" s="349"/>
      <c r="H1010" s="330">
        <v>0</v>
      </c>
      <c r="I1010" s="210"/>
    </row>
    <row r="1011" spans="1:9">
      <c r="A1011" s="395">
        <v>6</v>
      </c>
      <c r="B1011" s="792">
        <v>355100200100000</v>
      </c>
      <c r="C1011" s="313" t="s">
        <v>1009</v>
      </c>
      <c r="D1011" s="322"/>
      <c r="E1011" s="328">
        <f t="shared" si="16"/>
        <v>0</v>
      </c>
      <c r="F1011" s="347"/>
      <c r="G1011" s="347"/>
      <c r="H1011" s="328">
        <v>0</v>
      </c>
      <c r="I1011" s="210"/>
    </row>
    <row r="1012" spans="1:9">
      <c r="A1012" s="395">
        <v>6</v>
      </c>
      <c r="B1012" s="792">
        <v>355100200150000</v>
      </c>
      <c r="C1012" s="313" t="s">
        <v>1010</v>
      </c>
      <c r="D1012" s="322"/>
      <c r="E1012" s="328">
        <f t="shared" si="16"/>
        <v>0</v>
      </c>
      <c r="F1012" s="347"/>
      <c r="G1012" s="347"/>
      <c r="H1012" s="328">
        <v>0</v>
      </c>
      <c r="I1012" s="210"/>
    </row>
    <row r="1013" spans="1:9">
      <c r="A1013" s="395">
        <v>6</v>
      </c>
      <c r="B1013" s="792">
        <v>355100200200000</v>
      </c>
      <c r="C1013" s="313" t="s">
        <v>1011</v>
      </c>
      <c r="D1013" s="322"/>
      <c r="E1013" s="328">
        <f t="shared" si="16"/>
        <v>0</v>
      </c>
      <c r="F1013" s="347"/>
      <c r="G1013" s="347"/>
      <c r="H1013" s="328">
        <v>0</v>
      </c>
      <c r="I1013" s="210"/>
    </row>
    <row r="1014" spans="1:9">
      <c r="A1014" s="395">
        <v>6</v>
      </c>
      <c r="B1014" s="792">
        <v>355100200250000</v>
      </c>
      <c r="C1014" s="313" t="s">
        <v>1012</v>
      </c>
      <c r="D1014" s="322"/>
      <c r="E1014" s="328">
        <f t="shared" si="16"/>
        <v>0</v>
      </c>
      <c r="F1014" s="347"/>
      <c r="G1014" s="347"/>
      <c r="H1014" s="328">
        <v>0</v>
      </c>
      <c r="I1014" s="210"/>
    </row>
    <row r="1015" spans="1:9">
      <c r="A1015" s="395">
        <v>6</v>
      </c>
      <c r="B1015" s="792">
        <v>355100200300000</v>
      </c>
      <c r="C1015" s="313" t="s">
        <v>1013</v>
      </c>
      <c r="D1015" s="322"/>
      <c r="E1015" s="328">
        <f t="shared" si="16"/>
        <v>0</v>
      </c>
      <c r="F1015" s="347"/>
      <c r="G1015" s="347"/>
      <c r="H1015" s="328">
        <v>0</v>
      </c>
      <c r="I1015" s="210"/>
    </row>
    <row r="1016" spans="1:9">
      <c r="A1016" s="395">
        <v>6</v>
      </c>
      <c r="B1016" s="792">
        <v>355100200350000</v>
      </c>
      <c r="C1016" s="313" t="s">
        <v>1014</v>
      </c>
      <c r="D1016" s="322"/>
      <c r="E1016" s="328">
        <f t="shared" si="16"/>
        <v>0</v>
      </c>
      <c r="F1016" s="347"/>
      <c r="G1016" s="347"/>
      <c r="H1016" s="328">
        <v>0</v>
      </c>
      <c r="I1016" s="210"/>
    </row>
    <row r="1017" spans="1:9">
      <c r="A1017" s="395">
        <v>6</v>
      </c>
      <c r="B1017" s="792">
        <v>355100200400000</v>
      </c>
      <c r="C1017" s="313" t="s">
        <v>1015</v>
      </c>
      <c r="D1017" s="322"/>
      <c r="E1017" s="328">
        <f t="shared" si="16"/>
        <v>0</v>
      </c>
      <c r="F1017" s="347"/>
      <c r="G1017" s="347"/>
      <c r="H1017" s="328">
        <v>0</v>
      </c>
      <c r="I1017" s="210"/>
    </row>
    <row r="1018" spans="1:9">
      <c r="A1018" s="395">
        <v>6</v>
      </c>
      <c r="B1018" s="792">
        <v>355100200450000</v>
      </c>
      <c r="C1018" s="313" t="s">
        <v>2558</v>
      </c>
      <c r="D1018" s="322"/>
      <c r="E1018" s="328">
        <f t="shared" ref="E1018:E1080" si="17">+F1018+G1018</f>
        <v>0</v>
      </c>
      <c r="F1018" s="347"/>
      <c r="G1018" s="347"/>
      <c r="H1018" s="328">
        <v>0</v>
      </c>
      <c r="I1018" s="210"/>
    </row>
    <row r="1019" spans="1:9">
      <c r="A1019" s="395">
        <v>6</v>
      </c>
      <c r="B1019" s="792">
        <v>355100200500000</v>
      </c>
      <c r="C1019" s="313" t="s">
        <v>1016</v>
      </c>
      <c r="D1019" s="322"/>
      <c r="E1019" s="328">
        <f t="shared" si="17"/>
        <v>0</v>
      </c>
      <c r="F1019" s="347"/>
      <c r="G1019" s="347"/>
      <c r="H1019" s="328">
        <v>0</v>
      </c>
      <c r="I1019" s="210"/>
    </row>
    <row r="1020" spans="1:9">
      <c r="A1020" s="395">
        <v>6</v>
      </c>
      <c r="B1020" s="792">
        <v>355100200550000</v>
      </c>
      <c r="C1020" s="313" t="s">
        <v>1017</v>
      </c>
      <c r="D1020" s="322"/>
      <c r="E1020" s="328">
        <f t="shared" si="17"/>
        <v>0</v>
      </c>
      <c r="F1020" s="347"/>
      <c r="G1020" s="347"/>
      <c r="H1020" s="328">
        <v>0</v>
      </c>
      <c r="I1020" s="210"/>
    </row>
    <row r="1021" spans="1:9">
      <c r="A1021" s="394" t="s">
        <v>1965</v>
      </c>
      <c r="B1021" s="793" t="s">
        <v>1018</v>
      </c>
      <c r="C1021" s="310" t="s">
        <v>1663</v>
      </c>
      <c r="D1021" s="321"/>
      <c r="E1021" s="352"/>
      <c r="F1021" s="352"/>
      <c r="G1021" s="352"/>
      <c r="H1021" s="352">
        <v>0</v>
      </c>
    </row>
    <row r="1022" spans="1:9">
      <c r="A1022" s="395">
        <v>5</v>
      </c>
      <c r="B1022" s="792">
        <v>355200100000000</v>
      </c>
      <c r="C1022" s="313" t="s">
        <v>1019</v>
      </c>
      <c r="D1022" s="322"/>
      <c r="E1022" s="328">
        <f t="shared" si="17"/>
        <v>0</v>
      </c>
      <c r="F1022" s="347"/>
      <c r="G1022" s="347"/>
      <c r="H1022" s="328">
        <v>0</v>
      </c>
      <c r="I1022" s="210"/>
    </row>
    <row r="1023" spans="1:9">
      <c r="A1023" s="395">
        <v>5</v>
      </c>
      <c r="B1023" s="792">
        <v>355200101000000</v>
      </c>
      <c r="C1023" s="313" t="s">
        <v>1020</v>
      </c>
      <c r="D1023" s="322"/>
      <c r="E1023" s="328">
        <f t="shared" si="17"/>
        <v>0</v>
      </c>
      <c r="F1023" s="347"/>
      <c r="G1023" s="347"/>
      <c r="H1023" s="328">
        <v>0</v>
      </c>
      <c r="I1023" s="210"/>
    </row>
    <row r="1024" spans="1:9">
      <c r="A1024" s="395">
        <v>5</v>
      </c>
      <c r="B1024" s="792">
        <v>355200102000000</v>
      </c>
      <c r="C1024" s="313" t="s">
        <v>1021</v>
      </c>
      <c r="D1024" s="322"/>
      <c r="E1024" s="328">
        <f t="shared" si="17"/>
        <v>0</v>
      </c>
      <c r="F1024" s="347"/>
      <c r="G1024" s="347"/>
      <c r="H1024" s="328">
        <v>0</v>
      </c>
      <c r="I1024" s="210"/>
    </row>
    <row r="1025" spans="1:9">
      <c r="A1025" s="395">
        <v>5</v>
      </c>
      <c r="B1025" s="792">
        <v>355200103000000</v>
      </c>
      <c r="C1025" s="313" t="s">
        <v>1022</v>
      </c>
      <c r="D1025" s="322"/>
      <c r="E1025" s="328">
        <f t="shared" si="17"/>
        <v>0</v>
      </c>
      <c r="F1025" s="347"/>
      <c r="G1025" s="347"/>
      <c r="H1025" s="328">
        <v>0</v>
      </c>
      <c r="I1025" s="210"/>
    </row>
    <row r="1026" spans="1:9" ht="24">
      <c r="A1026" s="395">
        <v>5</v>
      </c>
      <c r="B1026" s="792">
        <v>355200200000000</v>
      </c>
      <c r="C1026" s="313" t="s">
        <v>1023</v>
      </c>
      <c r="D1026" s="322"/>
      <c r="E1026" s="328">
        <f t="shared" si="17"/>
        <v>0</v>
      </c>
      <c r="F1026" s="347"/>
      <c r="G1026" s="347"/>
      <c r="H1026" s="328">
        <v>0</v>
      </c>
      <c r="I1026" s="210"/>
    </row>
    <row r="1027" spans="1:9">
      <c r="A1027" s="395">
        <v>5</v>
      </c>
      <c r="B1027" s="792">
        <v>355200201000000</v>
      </c>
      <c r="C1027" s="313" t="s">
        <v>1024</v>
      </c>
      <c r="D1027" s="322"/>
      <c r="E1027" s="328">
        <f t="shared" si="17"/>
        <v>0</v>
      </c>
      <c r="F1027" s="347"/>
      <c r="G1027" s="347"/>
      <c r="H1027" s="328">
        <v>0</v>
      </c>
      <c r="I1027" s="210"/>
    </row>
    <row r="1028" spans="1:9">
      <c r="A1028" s="395">
        <v>5</v>
      </c>
      <c r="B1028" s="792">
        <v>355200202000000</v>
      </c>
      <c r="C1028" s="313" t="s">
        <v>1025</v>
      </c>
      <c r="D1028" s="322"/>
      <c r="E1028" s="328">
        <f t="shared" si="17"/>
        <v>0</v>
      </c>
      <c r="F1028" s="347"/>
      <c r="G1028" s="347"/>
      <c r="H1028" s="328">
        <v>0</v>
      </c>
      <c r="I1028" s="210"/>
    </row>
    <row r="1029" spans="1:9">
      <c r="A1029" s="395">
        <v>5</v>
      </c>
      <c r="B1029" s="792">
        <v>355200203000000</v>
      </c>
      <c r="C1029" s="313" t="s">
        <v>1026</v>
      </c>
      <c r="D1029" s="322"/>
      <c r="E1029" s="328">
        <f t="shared" si="17"/>
        <v>0</v>
      </c>
      <c r="F1029" s="347"/>
      <c r="G1029" s="347"/>
      <c r="H1029" s="328">
        <v>0</v>
      </c>
      <c r="I1029" s="210"/>
    </row>
    <row r="1030" spans="1:9" ht="24">
      <c r="A1030" s="395">
        <v>5</v>
      </c>
      <c r="B1030" s="792">
        <v>355200204000000</v>
      </c>
      <c r="C1030" s="313" t="s">
        <v>1027</v>
      </c>
      <c r="D1030" s="322"/>
      <c r="E1030" s="328">
        <f t="shared" si="17"/>
        <v>0</v>
      </c>
      <c r="F1030" s="347"/>
      <c r="G1030" s="347"/>
      <c r="H1030" s="328">
        <v>0</v>
      </c>
      <c r="I1030" s="210"/>
    </row>
    <row r="1031" spans="1:9" ht="24">
      <c r="A1031" s="395">
        <v>5</v>
      </c>
      <c r="B1031" s="792">
        <v>355200205000000</v>
      </c>
      <c r="C1031" s="313" t="s">
        <v>1028</v>
      </c>
      <c r="D1031" s="322"/>
      <c r="E1031" s="328">
        <f t="shared" si="17"/>
        <v>0</v>
      </c>
      <c r="F1031" s="347"/>
      <c r="G1031" s="347"/>
      <c r="H1031" s="328">
        <v>0</v>
      </c>
      <c r="I1031" s="210"/>
    </row>
    <row r="1032" spans="1:9">
      <c r="A1032" s="395">
        <v>5</v>
      </c>
      <c r="B1032" s="792">
        <v>355200206000000</v>
      </c>
      <c r="C1032" s="313" t="s">
        <v>1029</v>
      </c>
      <c r="D1032" s="322"/>
      <c r="E1032" s="328">
        <f t="shared" si="17"/>
        <v>0</v>
      </c>
      <c r="F1032" s="347"/>
      <c r="G1032" s="347"/>
      <c r="H1032" s="328">
        <v>0</v>
      </c>
      <c r="I1032" s="210"/>
    </row>
    <row r="1033" spans="1:9" ht="24">
      <c r="A1033" s="395">
        <v>5</v>
      </c>
      <c r="B1033" s="792">
        <v>355200207000000</v>
      </c>
      <c r="C1033" s="313" t="s">
        <v>1030</v>
      </c>
      <c r="D1033" s="322"/>
      <c r="E1033" s="328">
        <f t="shared" si="17"/>
        <v>0</v>
      </c>
      <c r="F1033" s="347"/>
      <c r="G1033" s="347"/>
      <c r="H1033" s="328">
        <v>0</v>
      </c>
      <c r="I1033" s="210"/>
    </row>
    <row r="1034" spans="1:9" ht="24">
      <c r="A1034" s="395">
        <v>5</v>
      </c>
      <c r="B1034" s="792">
        <v>355200208000000</v>
      </c>
      <c r="C1034" s="313" t="s">
        <v>1031</v>
      </c>
      <c r="D1034" s="322"/>
      <c r="E1034" s="328">
        <f t="shared" si="17"/>
        <v>0</v>
      </c>
      <c r="F1034" s="347"/>
      <c r="G1034" s="347"/>
      <c r="H1034" s="328">
        <v>0</v>
      </c>
      <c r="I1034" s="210"/>
    </row>
    <row r="1035" spans="1:9" ht="24">
      <c r="A1035" s="395">
        <v>5</v>
      </c>
      <c r="B1035" s="792">
        <v>355200209000000</v>
      </c>
      <c r="C1035" s="313" t="s">
        <v>1032</v>
      </c>
      <c r="D1035" s="322"/>
      <c r="E1035" s="328">
        <f t="shared" si="17"/>
        <v>0</v>
      </c>
      <c r="F1035" s="347"/>
      <c r="G1035" s="347"/>
      <c r="H1035" s="328">
        <v>0</v>
      </c>
      <c r="I1035" s="210"/>
    </row>
    <row r="1036" spans="1:9" ht="24">
      <c r="A1036" s="395">
        <v>5</v>
      </c>
      <c r="B1036" s="792">
        <v>355200210000000</v>
      </c>
      <c r="C1036" s="313" t="s">
        <v>2559</v>
      </c>
      <c r="D1036" s="322"/>
      <c r="E1036" s="328">
        <f t="shared" si="17"/>
        <v>0</v>
      </c>
      <c r="F1036" s="347"/>
      <c r="G1036" s="347"/>
      <c r="H1036" s="328">
        <v>0</v>
      </c>
      <c r="I1036" s="210"/>
    </row>
    <row r="1037" spans="1:9" ht="24">
      <c r="A1037" s="395">
        <v>5</v>
      </c>
      <c r="B1037" s="792">
        <v>355200211000000</v>
      </c>
      <c r="C1037" s="313" t="s">
        <v>1033</v>
      </c>
      <c r="D1037" s="322"/>
      <c r="E1037" s="328">
        <f t="shared" si="17"/>
        <v>0</v>
      </c>
      <c r="F1037" s="347"/>
      <c r="G1037" s="347"/>
      <c r="H1037" s="328">
        <v>0</v>
      </c>
      <c r="I1037" s="210"/>
    </row>
    <row r="1038" spans="1:9">
      <c r="A1038" s="395">
        <v>5</v>
      </c>
      <c r="B1038" s="792">
        <v>355200300000000</v>
      </c>
      <c r="C1038" s="313" t="s">
        <v>1034</v>
      </c>
      <c r="D1038" s="322"/>
      <c r="E1038" s="328">
        <f t="shared" si="17"/>
        <v>0</v>
      </c>
      <c r="F1038" s="347"/>
      <c r="G1038" s="347"/>
      <c r="H1038" s="328">
        <v>0</v>
      </c>
      <c r="I1038" s="210"/>
    </row>
    <row r="1039" spans="1:9" ht="24">
      <c r="A1039" s="395">
        <v>5</v>
      </c>
      <c r="B1039" s="792">
        <v>355200400000000</v>
      </c>
      <c r="C1039" s="313" t="s">
        <v>1035</v>
      </c>
      <c r="D1039" s="322"/>
      <c r="E1039" s="328">
        <f t="shared" si="17"/>
        <v>0</v>
      </c>
      <c r="F1039" s="347"/>
      <c r="G1039" s="347"/>
      <c r="H1039" s="328">
        <v>0</v>
      </c>
      <c r="I1039" s="210"/>
    </row>
    <row r="1040" spans="1:9" ht="24">
      <c r="A1040" s="395">
        <v>5</v>
      </c>
      <c r="B1040" s="792">
        <v>355200401000000</v>
      </c>
      <c r="C1040" s="313" t="s">
        <v>1036</v>
      </c>
      <c r="D1040" s="322"/>
      <c r="E1040" s="328">
        <f t="shared" si="17"/>
        <v>0</v>
      </c>
      <c r="F1040" s="347"/>
      <c r="G1040" s="347"/>
      <c r="H1040" s="328">
        <v>0</v>
      </c>
      <c r="I1040" s="210"/>
    </row>
    <row r="1041" spans="1:9" ht="24">
      <c r="A1041" s="395">
        <v>5</v>
      </c>
      <c r="B1041" s="792">
        <v>355200402000000</v>
      </c>
      <c r="C1041" s="313" t="s">
        <v>1037</v>
      </c>
      <c r="D1041" s="322"/>
      <c r="E1041" s="328">
        <f t="shared" si="17"/>
        <v>0</v>
      </c>
      <c r="F1041" s="347"/>
      <c r="G1041" s="347"/>
      <c r="H1041" s="328">
        <v>0</v>
      </c>
      <c r="I1041" s="210"/>
    </row>
    <row r="1042" spans="1:9" ht="24">
      <c r="A1042" s="395">
        <v>5</v>
      </c>
      <c r="B1042" s="792">
        <v>355200403000000</v>
      </c>
      <c r="C1042" s="313" t="s">
        <v>1038</v>
      </c>
      <c r="D1042" s="322"/>
      <c r="E1042" s="328">
        <f t="shared" si="17"/>
        <v>0</v>
      </c>
      <c r="F1042" s="347"/>
      <c r="G1042" s="347"/>
      <c r="H1042" s="328">
        <v>0</v>
      </c>
      <c r="I1042" s="210"/>
    </row>
    <row r="1043" spans="1:9" ht="24">
      <c r="A1043" s="395">
        <v>5</v>
      </c>
      <c r="B1043" s="792">
        <v>355200404000000</v>
      </c>
      <c r="C1043" s="313" t="s">
        <v>1039</v>
      </c>
      <c r="D1043" s="322"/>
      <c r="E1043" s="328">
        <f t="shared" si="17"/>
        <v>0</v>
      </c>
      <c r="F1043" s="347"/>
      <c r="G1043" s="347"/>
      <c r="H1043" s="328">
        <v>0</v>
      </c>
      <c r="I1043" s="210"/>
    </row>
    <row r="1044" spans="1:9" ht="24">
      <c r="A1044" s="395">
        <v>5</v>
      </c>
      <c r="B1044" s="792">
        <v>355200405000000</v>
      </c>
      <c r="C1044" s="313" t="s">
        <v>1040</v>
      </c>
      <c r="D1044" s="322"/>
      <c r="E1044" s="328">
        <f t="shared" si="17"/>
        <v>0</v>
      </c>
      <c r="F1044" s="347"/>
      <c r="G1044" s="347"/>
      <c r="H1044" s="328">
        <v>0</v>
      </c>
      <c r="I1044" s="210"/>
    </row>
    <row r="1045" spans="1:9" ht="24">
      <c r="A1045" s="395">
        <v>5</v>
      </c>
      <c r="B1045" s="792">
        <v>355200406000000</v>
      </c>
      <c r="C1045" s="313" t="s">
        <v>1041</v>
      </c>
      <c r="D1045" s="322"/>
      <c r="E1045" s="328">
        <f t="shared" si="17"/>
        <v>0</v>
      </c>
      <c r="F1045" s="347"/>
      <c r="G1045" s="347"/>
      <c r="H1045" s="328">
        <v>0</v>
      </c>
      <c r="I1045" s="210"/>
    </row>
    <row r="1046" spans="1:9" ht="24">
      <c r="A1046" s="395">
        <v>5</v>
      </c>
      <c r="B1046" s="792">
        <v>355200407000000</v>
      </c>
      <c r="C1046" s="313" t="s">
        <v>1042</v>
      </c>
      <c r="D1046" s="322"/>
      <c r="E1046" s="328">
        <f t="shared" si="17"/>
        <v>0</v>
      </c>
      <c r="F1046" s="347"/>
      <c r="G1046" s="347"/>
      <c r="H1046" s="328">
        <v>0</v>
      </c>
      <c r="I1046" s="210"/>
    </row>
    <row r="1047" spans="1:9" ht="24">
      <c r="A1047" s="395">
        <v>5</v>
      </c>
      <c r="B1047" s="792">
        <v>355200408000000</v>
      </c>
      <c r="C1047" s="313" t="s">
        <v>1043</v>
      </c>
      <c r="D1047" s="322"/>
      <c r="E1047" s="328">
        <f t="shared" si="17"/>
        <v>0</v>
      </c>
      <c r="F1047" s="347"/>
      <c r="G1047" s="347"/>
      <c r="H1047" s="328">
        <v>0</v>
      </c>
      <c r="I1047" s="210"/>
    </row>
    <row r="1048" spans="1:9" ht="24">
      <c r="A1048" s="395">
        <v>5</v>
      </c>
      <c r="B1048" s="792">
        <v>355200409000000</v>
      </c>
      <c r="C1048" s="313" t="s">
        <v>1044</v>
      </c>
      <c r="D1048" s="322"/>
      <c r="E1048" s="328">
        <f t="shared" si="17"/>
        <v>0</v>
      </c>
      <c r="F1048" s="347"/>
      <c r="G1048" s="347"/>
      <c r="H1048" s="328">
        <v>0</v>
      </c>
      <c r="I1048" s="210"/>
    </row>
    <row r="1049" spans="1:9" ht="24">
      <c r="A1049" s="395">
        <v>5</v>
      </c>
      <c r="B1049" s="792">
        <v>355200410000000</v>
      </c>
      <c r="C1049" s="313" t="s">
        <v>1045</v>
      </c>
      <c r="D1049" s="322"/>
      <c r="E1049" s="328">
        <f t="shared" si="17"/>
        <v>0</v>
      </c>
      <c r="F1049" s="347"/>
      <c r="G1049" s="347"/>
      <c r="H1049" s="328">
        <v>0</v>
      </c>
      <c r="I1049" s="210"/>
    </row>
    <row r="1050" spans="1:9" ht="24">
      <c r="A1050" s="395">
        <v>5</v>
      </c>
      <c r="B1050" s="792">
        <v>355200411000000</v>
      </c>
      <c r="C1050" s="313" t="s">
        <v>1046</v>
      </c>
      <c r="D1050" s="322"/>
      <c r="E1050" s="328">
        <f t="shared" si="17"/>
        <v>0</v>
      </c>
      <c r="F1050" s="347"/>
      <c r="G1050" s="347"/>
      <c r="H1050" s="328">
        <v>0</v>
      </c>
      <c r="I1050" s="210"/>
    </row>
    <row r="1051" spans="1:9" ht="24">
      <c r="A1051" s="395">
        <v>5</v>
      </c>
      <c r="B1051" s="792">
        <v>355200412000000</v>
      </c>
      <c r="C1051" s="313" t="s">
        <v>1047</v>
      </c>
      <c r="D1051" s="322"/>
      <c r="E1051" s="328">
        <f t="shared" si="17"/>
        <v>0</v>
      </c>
      <c r="F1051" s="347"/>
      <c r="G1051" s="347"/>
      <c r="H1051" s="328">
        <v>0</v>
      </c>
      <c r="I1051" s="210"/>
    </row>
    <row r="1052" spans="1:9" ht="24">
      <c r="A1052" s="395">
        <v>5</v>
      </c>
      <c r="B1052" s="792">
        <v>355200413000000</v>
      </c>
      <c r="C1052" s="313" t="s">
        <v>1048</v>
      </c>
      <c r="D1052" s="322"/>
      <c r="E1052" s="328">
        <f t="shared" si="17"/>
        <v>0</v>
      </c>
      <c r="F1052" s="347"/>
      <c r="G1052" s="347"/>
      <c r="H1052" s="328">
        <v>0</v>
      </c>
      <c r="I1052" s="210"/>
    </row>
    <row r="1053" spans="1:9" ht="24">
      <c r="A1053" s="395">
        <v>5</v>
      </c>
      <c r="B1053" s="792">
        <v>355200414000000</v>
      </c>
      <c r="C1053" s="313" t="s">
        <v>1049</v>
      </c>
      <c r="D1053" s="322"/>
      <c r="E1053" s="328">
        <f t="shared" si="17"/>
        <v>0</v>
      </c>
      <c r="F1053" s="347"/>
      <c r="G1053" s="347"/>
      <c r="H1053" s="328">
        <v>0</v>
      </c>
      <c r="I1053" s="210"/>
    </row>
    <row r="1054" spans="1:9">
      <c r="A1054" s="395">
        <v>5</v>
      </c>
      <c r="B1054" s="792">
        <v>355200415000000</v>
      </c>
      <c r="C1054" s="313" t="s">
        <v>1050</v>
      </c>
      <c r="D1054" s="322"/>
      <c r="E1054" s="328">
        <f t="shared" si="17"/>
        <v>0</v>
      </c>
      <c r="F1054" s="347"/>
      <c r="G1054" s="347"/>
      <c r="H1054" s="328">
        <v>0</v>
      </c>
      <c r="I1054" s="210"/>
    </row>
    <row r="1055" spans="1:9" ht="24">
      <c r="A1055" s="395">
        <v>5</v>
      </c>
      <c r="B1055" s="792">
        <v>355200602000000</v>
      </c>
      <c r="C1055" s="313" t="s">
        <v>1051</v>
      </c>
      <c r="D1055" s="322"/>
      <c r="E1055" s="328">
        <f t="shared" si="17"/>
        <v>0</v>
      </c>
      <c r="F1055" s="347"/>
      <c r="G1055" s="347"/>
      <c r="H1055" s="328">
        <v>0</v>
      </c>
      <c r="I1055" s="210"/>
    </row>
    <row r="1056" spans="1:9">
      <c r="A1056" s="395">
        <v>5</v>
      </c>
      <c r="B1056" s="792">
        <v>355200603000000</v>
      </c>
      <c r="C1056" s="313" t="s">
        <v>1052</v>
      </c>
      <c r="D1056" s="322"/>
      <c r="E1056" s="328">
        <f t="shared" si="17"/>
        <v>0</v>
      </c>
      <c r="F1056" s="347"/>
      <c r="G1056" s="347"/>
      <c r="H1056" s="328">
        <v>0</v>
      </c>
      <c r="I1056" s="210"/>
    </row>
    <row r="1057" spans="1:9">
      <c r="A1057" s="395">
        <v>5</v>
      </c>
      <c r="B1057" s="792">
        <v>355200700000000</v>
      </c>
      <c r="C1057" s="313" t="s">
        <v>1053</v>
      </c>
      <c r="D1057" s="322"/>
      <c r="E1057" s="328">
        <f t="shared" si="17"/>
        <v>0</v>
      </c>
      <c r="F1057" s="347"/>
      <c r="G1057" s="347"/>
      <c r="H1057" s="328">
        <v>0</v>
      </c>
      <c r="I1057" s="210"/>
    </row>
    <row r="1058" spans="1:9">
      <c r="A1058" s="395">
        <v>5</v>
      </c>
      <c r="B1058" s="792">
        <v>355200701000000</v>
      </c>
      <c r="C1058" s="313" t="s">
        <v>1054</v>
      </c>
      <c r="D1058" s="322"/>
      <c r="E1058" s="328">
        <f t="shared" si="17"/>
        <v>0</v>
      </c>
      <c r="F1058" s="347"/>
      <c r="G1058" s="347"/>
      <c r="H1058" s="328">
        <v>0</v>
      </c>
      <c r="I1058" s="210"/>
    </row>
    <row r="1059" spans="1:9">
      <c r="A1059" s="395">
        <v>5</v>
      </c>
      <c r="B1059" s="792">
        <v>355200702000000</v>
      </c>
      <c r="C1059" s="313" t="s">
        <v>1055</v>
      </c>
      <c r="D1059" s="322"/>
      <c r="E1059" s="328">
        <f t="shared" si="17"/>
        <v>0</v>
      </c>
      <c r="F1059" s="347"/>
      <c r="G1059" s="347"/>
      <c r="H1059" s="328">
        <v>0</v>
      </c>
      <c r="I1059" s="210"/>
    </row>
    <row r="1060" spans="1:9">
      <c r="A1060" s="395">
        <v>5</v>
      </c>
      <c r="B1060" s="792">
        <v>355200900000000</v>
      </c>
      <c r="C1060" s="313" t="s">
        <v>1056</v>
      </c>
      <c r="D1060" s="322"/>
      <c r="E1060" s="328">
        <f t="shared" si="17"/>
        <v>0</v>
      </c>
      <c r="F1060" s="347"/>
      <c r="G1060" s="347"/>
      <c r="H1060" s="328">
        <v>0</v>
      </c>
      <c r="I1060" s="210"/>
    </row>
    <row r="1061" spans="1:9">
      <c r="A1061" s="395">
        <v>5</v>
      </c>
      <c r="B1061" s="792">
        <v>355200901000000</v>
      </c>
      <c r="C1061" s="313" t="s">
        <v>1057</v>
      </c>
      <c r="D1061" s="322"/>
      <c r="E1061" s="328">
        <f t="shared" si="17"/>
        <v>0</v>
      </c>
      <c r="F1061" s="347"/>
      <c r="G1061" s="347"/>
      <c r="H1061" s="328">
        <v>0</v>
      </c>
      <c r="I1061" s="210"/>
    </row>
    <row r="1062" spans="1:9">
      <c r="A1062" s="395">
        <v>5</v>
      </c>
      <c r="B1062" s="792">
        <v>355200902000000</v>
      </c>
      <c r="C1062" s="313" t="s">
        <v>1058</v>
      </c>
      <c r="D1062" s="322"/>
      <c r="E1062" s="328">
        <f t="shared" si="17"/>
        <v>0</v>
      </c>
      <c r="F1062" s="347"/>
      <c r="G1062" s="347"/>
      <c r="H1062" s="328">
        <v>0</v>
      </c>
      <c r="I1062" s="210"/>
    </row>
    <row r="1063" spans="1:9">
      <c r="A1063" s="395">
        <v>5</v>
      </c>
      <c r="B1063" s="792">
        <v>355200903000000</v>
      </c>
      <c r="C1063" s="313" t="s">
        <v>1059</v>
      </c>
      <c r="D1063" s="322"/>
      <c r="E1063" s="328">
        <f t="shared" si="17"/>
        <v>0</v>
      </c>
      <c r="F1063" s="347"/>
      <c r="G1063" s="347"/>
      <c r="H1063" s="328">
        <v>0</v>
      </c>
      <c r="I1063" s="210"/>
    </row>
    <row r="1064" spans="1:9">
      <c r="A1064" s="395">
        <v>5</v>
      </c>
      <c r="B1064" s="792">
        <v>355200990000000</v>
      </c>
      <c r="C1064" s="313" t="s">
        <v>1060</v>
      </c>
      <c r="D1064" s="322"/>
      <c r="E1064" s="328">
        <f t="shared" si="17"/>
        <v>0</v>
      </c>
      <c r="F1064" s="347"/>
      <c r="G1064" s="347"/>
      <c r="H1064" s="328">
        <v>0</v>
      </c>
      <c r="I1064" s="210"/>
    </row>
    <row r="1065" spans="1:9">
      <c r="A1065" s="394" t="s">
        <v>1963</v>
      </c>
      <c r="B1065" s="793" t="s">
        <v>1061</v>
      </c>
      <c r="C1065" s="310" t="s">
        <v>1664</v>
      </c>
      <c r="D1065" s="321"/>
      <c r="E1065" s="352"/>
      <c r="F1065" s="352"/>
      <c r="G1065" s="352"/>
      <c r="H1065" s="352">
        <v>0</v>
      </c>
    </row>
    <row r="1066" spans="1:9">
      <c r="A1066" s="394" t="s">
        <v>1965</v>
      </c>
      <c r="B1066" s="793" t="s">
        <v>1062</v>
      </c>
      <c r="C1066" s="310" t="s">
        <v>1665</v>
      </c>
      <c r="D1066" s="321"/>
      <c r="E1066" s="352"/>
      <c r="F1066" s="352"/>
      <c r="G1066" s="352"/>
      <c r="H1066" s="352">
        <v>0</v>
      </c>
    </row>
    <row r="1067" spans="1:9">
      <c r="A1067" s="394" t="s">
        <v>1967</v>
      </c>
      <c r="B1067" s="793" t="s">
        <v>1063</v>
      </c>
      <c r="C1067" s="310" t="s">
        <v>1666</v>
      </c>
      <c r="D1067" s="321"/>
      <c r="E1067" s="352"/>
      <c r="F1067" s="352"/>
      <c r="G1067" s="352"/>
      <c r="H1067" s="352">
        <v>0</v>
      </c>
    </row>
    <row r="1068" spans="1:9">
      <c r="A1068" s="395" t="s">
        <v>1969</v>
      </c>
      <c r="B1068" s="792">
        <v>360100010000000</v>
      </c>
      <c r="C1068" s="313" t="s">
        <v>2560</v>
      </c>
      <c r="D1068" s="322"/>
      <c r="E1068" s="328">
        <f t="shared" si="17"/>
        <v>-100684.65</v>
      </c>
      <c r="F1068" s="347">
        <v>-100684.65</v>
      </c>
      <c r="G1068" s="347"/>
      <c r="H1068" s="328">
        <v>-10893715.439999999</v>
      </c>
      <c r="I1068" s="210"/>
    </row>
    <row r="1069" spans="1:9">
      <c r="A1069" s="394" t="s">
        <v>1967</v>
      </c>
      <c r="B1069" s="793" t="s">
        <v>1064</v>
      </c>
      <c r="C1069" s="310" t="s">
        <v>1667</v>
      </c>
      <c r="D1069" s="321"/>
      <c r="E1069" s="352"/>
      <c r="F1069" s="352"/>
      <c r="G1069" s="352"/>
      <c r="H1069" s="352">
        <v>0</v>
      </c>
    </row>
    <row r="1070" spans="1:9">
      <c r="A1070" s="395" t="s">
        <v>1969</v>
      </c>
      <c r="B1070" s="792">
        <v>360100020000000</v>
      </c>
      <c r="C1070" s="313" t="s">
        <v>2561</v>
      </c>
      <c r="D1070" s="322"/>
      <c r="E1070" s="328">
        <f t="shared" si="17"/>
        <v>0</v>
      </c>
      <c r="F1070" s="347"/>
      <c r="G1070" s="347"/>
      <c r="H1070" s="328">
        <v>0</v>
      </c>
      <c r="I1070" s="210"/>
    </row>
    <row r="1071" spans="1:9">
      <c r="A1071" s="394" t="s">
        <v>1967</v>
      </c>
      <c r="B1071" s="793" t="s">
        <v>1065</v>
      </c>
      <c r="C1071" s="310" t="s">
        <v>1668</v>
      </c>
      <c r="D1071" s="321"/>
      <c r="E1071" s="352"/>
      <c r="F1071" s="352"/>
      <c r="G1071" s="352"/>
      <c r="H1071" s="352">
        <v>0</v>
      </c>
    </row>
    <row r="1072" spans="1:9">
      <c r="A1072" s="395" t="s">
        <v>1969</v>
      </c>
      <c r="B1072" s="792">
        <v>360100030000000</v>
      </c>
      <c r="C1072" s="313" t="s">
        <v>2562</v>
      </c>
      <c r="D1072" s="322"/>
      <c r="E1072" s="328">
        <f t="shared" si="17"/>
        <v>1128606.6399999999</v>
      </c>
      <c r="F1072" s="347">
        <v>1128606.6399999999</v>
      </c>
      <c r="G1072" s="347"/>
      <c r="H1072" s="328">
        <v>-1995933.73</v>
      </c>
      <c r="I1072" s="210"/>
    </row>
    <row r="1073" spans="1:9">
      <c r="A1073" s="394" t="s">
        <v>1967</v>
      </c>
      <c r="B1073" s="793" t="s">
        <v>1066</v>
      </c>
      <c r="C1073" s="310" t="s">
        <v>1669</v>
      </c>
      <c r="D1073" s="321"/>
      <c r="E1073" s="352"/>
      <c r="F1073" s="352"/>
      <c r="G1073" s="352"/>
      <c r="H1073" s="352">
        <v>0</v>
      </c>
    </row>
    <row r="1074" spans="1:9">
      <c r="A1074" s="395" t="s">
        <v>1969</v>
      </c>
      <c r="B1074" s="792">
        <v>360100040000000</v>
      </c>
      <c r="C1074" s="313" t="s">
        <v>2563</v>
      </c>
      <c r="D1074" s="322"/>
      <c r="E1074" s="328">
        <f t="shared" si="17"/>
        <v>-24949.67</v>
      </c>
      <c r="F1074" s="347">
        <v>-24949.67</v>
      </c>
      <c r="G1074" s="347"/>
      <c r="H1074" s="328">
        <v>-103481</v>
      </c>
      <c r="I1074" s="210"/>
    </row>
    <row r="1075" spans="1:9">
      <c r="A1075" s="394" t="s">
        <v>1967</v>
      </c>
      <c r="B1075" s="793" t="s">
        <v>1067</v>
      </c>
      <c r="C1075" s="310" t="s">
        <v>1670</v>
      </c>
      <c r="D1075" s="321"/>
      <c r="E1075" s="352"/>
      <c r="F1075" s="352"/>
      <c r="G1075" s="352"/>
      <c r="H1075" s="352">
        <v>0</v>
      </c>
    </row>
    <row r="1076" spans="1:9">
      <c r="A1076" s="395" t="s">
        <v>1969</v>
      </c>
      <c r="B1076" s="792">
        <v>360100050000000</v>
      </c>
      <c r="C1076" s="313" t="s">
        <v>2564</v>
      </c>
      <c r="D1076" s="322"/>
      <c r="E1076" s="328">
        <f t="shared" si="17"/>
        <v>-1184071.6399999999</v>
      </c>
      <c r="F1076" s="347">
        <v>-1184071.6399999999</v>
      </c>
      <c r="G1076" s="347"/>
      <c r="H1076" s="328">
        <v>-61261.68</v>
      </c>
      <c r="I1076" s="210"/>
    </row>
    <row r="1077" spans="1:9">
      <c r="A1077" s="394" t="s">
        <v>1967</v>
      </c>
      <c r="B1077" s="793" t="s">
        <v>1068</v>
      </c>
      <c r="C1077" s="310" t="s">
        <v>1671</v>
      </c>
      <c r="D1077" s="321"/>
      <c r="E1077" s="352"/>
      <c r="F1077" s="352"/>
      <c r="G1077" s="352"/>
      <c r="H1077" s="352">
        <v>0</v>
      </c>
    </row>
    <row r="1078" spans="1:9">
      <c r="A1078" s="395" t="s">
        <v>1969</v>
      </c>
      <c r="B1078" s="792">
        <v>360100060000000</v>
      </c>
      <c r="C1078" s="313" t="s">
        <v>2565</v>
      </c>
      <c r="D1078" s="322"/>
      <c r="E1078" s="328">
        <f t="shared" si="17"/>
        <v>5214.12</v>
      </c>
      <c r="F1078" s="347">
        <v>5214.12</v>
      </c>
      <c r="G1078" s="347"/>
      <c r="H1078" s="328">
        <v>-10347.68</v>
      </c>
      <c r="I1078" s="210"/>
    </row>
    <row r="1079" spans="1:9">
      <c r="A1079" s="394" t="s">
        <v>1967</v>
      </c>
      <c r="B1079" s="793" t="s">
        <v>1069</v>
      </c>
      <c r="C1079" s="310" t="s">
        <v>1672</v>
      </c>
      <c r="D1079" s="321"/>
      <c r="E1079" s="352"/>
      <c r="F1079" s="352"/>
      <c r="G1079" s="352"/>
      <c r="H1079" s="352">
        <v>0</v>
      </c>
    </row>
    <row r="1080" spans="1:9">
      <c r="A1080" s="395" t="s">
        <v>1969</v>
      </c>
      <c r="B1080" s="792">
        <v>360100070000000</v>
      </c>
      <c r="C1080" s="313" t="s">
        <v>2566</v>
      </c>
      <c r="D1080" s="322"/>
      <c r="E1080" s="328">
        <f t="shared" si="17"/>
        <v>4090.97</v>
      </c>
      <c r="F1080" s="347">
        <v>4090.97</v>
      </c>
      <c r="G1080" s="347"/>
      <c r="H1080" s="328">
        <v>-28708.95</v>
      </c>
      <c r="I1080" s="210"/>
    </row>
    <row r="1081" spans="1:9">
      <c r="A1081" s="394" t="s">
        <v>1967</v>
      </c>
      <c r="B1081" s="793" t="s">
        <v>1070</v>
      </c>
      <c r="C1081" s="310" t="s">
        <v>1673</v>
      </c>
      <c r="D1081" s="321"/>
      <c r="E1081" s="352"/>
      <c r="F1081" s="352"/>
      <c r="G1081" s="352"/>
      <c r="H1081" s="352">
        <v>0</v>
      </c>
    </row>
    <row r="1082" spans="1:9">
      <c r="A1082" s="395" t="s">
        <v>1969</v>
      </c>
      <c r="B1082" s="792">
        <v>360100080000000</v>
      </c>
      <c r="C1082" s="313" t="s">
        <v>2567</v>
      </c>
      <c r="D1082" s="322"/>
      <c r="E1082" s="328">
        <f t="shared" ref="E1082:E1145" si="18">+F1082+G1082</f>
        <v>-13927.22</v>
      </c>
      <c r="F1082" s="347">
        <v>-13927.22</v>
      </c>
      <c r="G1082" s="347"/>
      <c r="H1082" s="328">
        <v>317917.11</v>
      </c>
      <c r="I1082" s="210"/>
    </row>
    <row r="1083" spans="1:9">
      <c r="A1083" s="394" t="s">
        <v>1965</v>
      </c>
      <c r="B1083" s="793" t="s">
        <v>1071</v>
      </c>
      <c r="C1083" s="310" t="s">
        <v>1674</v>
      </c>
      <c r="D1083" s="321"/>
      <c r="E1083" s="352"/>
      <c r="F1083" s="352"/>
      <c r="G1083" s="352"/>
      <c r="H1083" s="352">
        <v>0</v>
      </c>
    </row>
    <row r="1084" spans="1:9">
      <c r="A1084" s="394" t="s">
        <v>1967</v>
      </c>
      <c r="B1084" s="793" t="s">
        <v>1072</v>
      </c>
      <c r="C1084" s="310" t="s">
        <v>1675</v>
      </c>
      <c r="D1084" s="321"/>
      <c r="E1084" s="352"/>
      <c r="F1084" s="352"/>
      <c r="G1084" s="352"/>
      <c r="H1084" s="352">
        <v>0</v>
      </c>
    </row>
    <row r="1085" spans="1:9">
      <c r="A1085" s="395" t="s">
        <v>1969</v>
      </c>
      <c r="B1085" s="792">
        <v>360200010000000</v>
      </c>
      <c r="C1085" s="313" t="s">
        <v>2568</v>
      </c>
      <c r="D1085" s="322"/>
      <c r="E1085" s="328">
        <f t="shared" si="18"/>
        <v>1809.19</v>
      </c>
      <c r="F1085" s="347">
        <v>1809.19</v>
      </c>
      <c r="G1085" s="347"/>
      <c r="H1085" s="328">
        <v>-224.46</v>
      </c>
      <c r="I1085" s="210"/>
    </row>
    <row r="1086" spans="1:9" ht="25.5">
      <c r="A1086" s="394" t="s">
        <v>1967</v>
      </c>
      <c r="B1086" s="793" t="s">
        <v>1073</v>
      </c>
      <c r="C1086" s="310" t="s">
        <v>1676</v>
      </c>
      <c r="D1086" s="321"/>
      <c r="E1086" s="352"/>
      <c r="F1086" s="352"/>
      <c r="G1086" s="352"/>
      <c r="H1086" s="352">
        <v>0</v>
      </c>
    </row>
    <row r="1087" spans="1:9" ht="24">
      <c r="A1087" s="395" t="s">
        <v>1969</v>
      </c>
      <c r="B1087" s="792">
        <v>360200020000000</v>
      </c>
      <c r="C1087" s="313" t="s">
        <v>2569</v>
      </c>
      <c r="D1087" s="322"/>
      <c r="E1087" s="328">
        <f t="shared" si="18"/>
        <v>162077.07999999999</v>
      </c>
      <c r="F1087" s="347">
        <v>162077.07999999999</v>
      </c>
      <c r="G1087" s="347"/>
      <c r="H1087" s="328">
        <v>411616.5</v>
      </c>
      <c r="I1087" s="210"/>
    </row>
    <row r="1088" spans="1:9">
      <c r="A1088" s="394" t="s">
        <v>1967</v>
      </c>
      <c r="B1088" s="793" t="s">
        <v>1074</v>
      </c>
      <c r="C1088" s="310" t="s">
        <v>1677</v>
      </c>
      <c r="D1088" s="321"/>
      <c r="E1088" s="352"/>
      <c r="F1088" s="352"/>
      <c r="G1088" s="352"/>
      <c r="H1088" s="352">
        <v>0</v>
      </c>
    </row>
    <row r="1089" spans="1:9">
      <c r="A1089" s="395" t="s">
        <v>1969</v>
      </c>
      <c r="B1089" s="792">
        <v>360200030000000</v>
      </c>
      <c r="C1089" s="313" t="s">
        <v>2570</v>
      </c>
      <c r="D1089" s="322"/>
      <c r="E1089" s="328">
        <f t="shared" si="18"/>
        <v>0</v>
      </c>
      <c r="F1089" s="347"/>
      <c r="G1089" s="347"/>
      <c r="H1089" s="328">
        <v>0</v>
      </c>
      <c r="I1089" s="210"/>
    </row>
    <row r="1090" spans="1:9">
      <c r="A1090" s="394" t="s">
        <v>1967</v>
      </c>
      <c r="B1090" s="793" t="s">
        <v>1075</v>
      </c>
      <c r="C1090" s="310" t="s">
        <v>1678</v>
      </c>
      <c r="D1090" s="321"/>
      <c r="E1090" s="352"/>
      <c r="F1090" s="352"/>
      <c r="G1090" s="352"/>
      <c r="H1090" s="352">
        <v>0</v>
      </c>
    </row>
    <row r="1091" spans="1:9">
      <c r="A1091" s="395" t="s">
        <v>1969</v>
      </c>
      <c r="B1091" s="792">
        <v>360200040000000</v>
      </c>
      <c r="C1091" s="313" t="s">
        <v>2571</v>
      </c>
      <c r="D1091" s="322"/>
      <c r="E1091" s="328">
        <f t="shared" si="18"/>
        <v>-5079.0200000000004</v>
      </c>
      <c r="F1091" s="347">
        <v>-5079.0200000000004</v>
      </c>
      <c r="G1091" s="347"/>
      <c r="H1091" s="328">
        <v>7426.1</v>
      </c>
      <c r="I1091" s="210"/>
    </row>
    <row r="1092" spans="1:9">
      <c r="A1092" s="394" t="s">
        <v>1967</v>
      </c>
      <c r="B1092" s="793" t="s">
        <v>1076</v>
      </c>
      <c r="C1092" s="310" t="s">
        <v>1679</v>
      </c>
      <c r="D1092" s="321"/>
      <c r="E1092" s="352"/>
      <c r="F1092" s="352"/>
      <c r="G1092" s="352"/>
      <c r="H1092" s="352">
        <v>0</v>
      </c>
    </row>
    <row r="1093" spans="1:9">
      <c r="A1093" s="395" t="s">
        <v>1969</v>
      </c>
      <c r="B1093" s="792">
        <v>360200050000000</v>
      </c>
      <c r="C1093" s="313" t="s">
        <v>2572</v>
      </c>
      <c r="D1093" s="322"/>
      <c r="E1093" s="328">
        <f t="shared" si="18"/>
        <v>15177.41</v>
      </c>
      <c r="F1093" s="347">
        <v>15177.41</v>
      </c>
      <c r="G1093" s="347"/>
      <c r="H1093" s="328">
        <v>-16552.63</v>
      </c>
      <c r="I1093" s="210"/>
    </row>
    <row r="1094" spans="1:9">
      <c r="A1094" s="394" t="s">
        <v>1967</v>
      </c>
      <c r="B1094" s="793" t="s">
        <v>1077</v>
      </c>
      <c r="C1094" s="310" t="s">
        <v>1680</v>
      </c>
      <c r="D1094" s="321"/>
      <c r="E1094" s="352"/>
      <c r="F1094" s="352"/>
      <c r="G1094" s="352"/>
      <c r="H1094" s="352">
        <v>0</v>
      </c>
    </row>
    <row r="1095" spans="1:9">
      <c r="A1095" s="395" t="s">
        <v>1969</v>
      </c>
      <c r="B1095" s="792">
        <v>360200060000000</v>
      </c>
      <c r="C1095" s="313" t="s">
        <v>2573</v>
      </c>
      <c r="D1095" s="322"/>
      <c r="E1095" s="328">
        <f t="shared" si="18"/>
        <v>-899.72</v>
      </c>
      <c r="F1095" s="347">
        <v>-899.72</v>
      </c>
      <c r="G1095" s="347"/>
      <c r="H1095" s="328">
        <v>3845.12</v>
      </c>
      <c r="I1095" s="210"/>
    </row>
    <row r="1096" spans="1:9">
      <c r="A1096" s="394" t="s">
        <v>1963</v>
      </c>
      <c r="B1096" s="793" t="s">
        <v>1078</v>
      </c>
      <c r="C1096" s="310" t="s">
        <v>2574</v>
      </c>
      <c r="D1096" s="321"/>
      <c r="E1096" s="352"/>
      <c r="F1096" s="352"/>
      <c r="G1096" s="352"/>
      <c r="H1096" s="352">
        <v>0</v>
      </c>
    </row>
    <row r="1097" spans="1:9">
      <c r="A1097" s="394" t="s">
        <v>1965</v>
      </c>
      <c r="B1097" s="793" t="s">
        <v>1079</v>
      </c>
      <c r="C1097" s="310" t="s">
        <v>1682</v>
      </c>
      <c r="D1097" s="321"/>
      <c r="E1097" s="352"/>
      <c r="F1097" s="352"/>
      <c r="G1097" s="352"/>
      <c r="H1097" s="352">
        <v>0</v>
      </c>
    </row>
    <row r="1098" spans="1:9" ht="25.5">
      <c r="A1098" s="394" t="s">
        <v>1967</v>
      </c>
      <c r="B1098" s="793" t="s">
        <v>1081</v>
      </c>
      <c r="C1098" s="310" t="s">
        <v>1683</v>
      </c>
      <c r="D1098" s="321"/>
      <c r="E1098" s="352"/>
      <c r="F1098" s="352"/>
      <c r="G1098" s="352"/>
      <c r="H1098" s="352">
        <v>0</v>
      </c>
    </row>
    <row r="1099" spans="1:9">
      <c r="A1099" s="395" t="s">
        <v>1969</v>
      </c>
      <c r="B1099" s="792">
        <v>365100100000000</v>
      </c>
      <c r="C1099" s="313" t="s">
        <v>1080</v>
      </c>
      <c r="D1099" s="322"/>
      <c r="E1099" s="328">
        <f t="shared" si="18"/>
        <v>51479.6</v>
      </c>
      <c r="F1099" s="347">
        <v>51479.6</v>
      </c>
      <c r="G1099" s="347"/>
      <c r="H1099" s="328">
        <v>0</v>
      </c>
      <c r="I1099" s="210"/>
    </row>
    <row r="1100" spans="1:9" ht="25.5">
      <c r="A1100" s="394" t="s">
        <v>1967</v>
      </c>
      <c r="B1100" s="793" t="s">
        <v>1083</v>
      </c>
      <c r="C1100" s="310" t="s">
        <v>1684</v>
      </c>
      <c r="D1100" s="321"/>
      <c r="E1100" s="352"/>
      <c r="F1100" s="352"/>
      <c r="G1100" s="352"/>
      <c r="H1100" s="352">
        <v>0</v>
      </c>
    </row>
    <row r="1101" spans="1:9">
      <c r="A1101" s="395" t="s">
        <v>1969</v>
      </c>
      <c r="B1101" s="792">
        <v>365100200000000</v>
      </c>
      <c r="C1101" s="313" t="s">
        <v>1082</v>
      </c>
      <c r="D1101" s="322"/>
      <c r="E1101" s="328">
        <f t="shared" si="18"/>
        <v>0</v>
      </c>
      <c r="F1101" s="347"/>
      <c r="G1101" s="347"/>
      <c r="H1101" s="328">
        <v>0</v>
      </c>
      <c r="I1101" s="210"/>
    </row>
    <row r="1102" spans="1:9" ht="25.5">
      <c r="A1102" s="394" t="s">
        <v>1967</v>
      </c>
      <c r="B1102" s="793" t="s">
        <v>1085</v>
      </c>
      <c r="C1102" s="310" t="s">
        <v>1685</v>
      </c>
      <c r="D1102" s="321"/>
      <c r="E1102" s="352"/>
      <c r="F1102" s="352"/>
      <c r="G1102" s="352"/>
      <c r="H1102" s="352">
        <v>0</v>
      </c>
    </row>
    <row r="1103" spans="1:9" ht="24">
      <c r="A1103" s="395" t="s">
        <v>1969</v>
      </c>
      <c r="B1103" s="792">
        <v>365100300000000</v>
      </c>
      <c r="C1103" s="313" t="s">
        <v>1084</v>
      </c>
      <c r="D1103" s="322"/>
      <c r="E1103" s="328">
        <f t="shared" si="18"/>
        <v>0</v>
      </c>
      <c r="F1103" s="347"/>
      <c r="G1103" s="347"/>
      <c r="H1103" s="328">
        <v>0</v>
      </c>
      <c r="I1103" s="210"/>
    </row>
    <row r="1104" spans="1:9" ht="25.5">
      <c r="A1104" s="394" t="s">
        <v>1967</v>
      </c>
      <c r="B1104" s="793" t="s">
        <v>1087</v>
      </c>
      <c r="C1104" s="310" t="s">
        <v>1686</v>
      </c>
      <c r="D1104" s="321"/>
      <c r="E1104" s="352"/>
      <c r="F1104" s="352"/>
      <c r="G1104" s="352"/>
      <c r="H1104" s="352">
        <v>0</v>
      </c>
    </row>
    <row r="1105" spans="1:9" ht="24">
      <c r="A1105" s="395" t="s">
        <v>1969</v>
      </c>
      <c r="B1105" s="792">
        <v>365100400000000</v>
      </c>
      <c r="C1105" s="313" t="s">
        <v>1086</v>
      </c>
      <c r="D1105" s="322"/>
      <c r="E1105" s="328">
        <f t="shared" si="18"/>
        <v>0</v>
      </c>
      <c r="F1105" s="347"/>
      <c r="G1105" s="347"/>
      <c r="H1105" s="328">
        <v>0</v>
      </c>
      <c r="I1105" s="210"/>
    </row>
    <row r="1106" spans="1:9">
      <c r="A1106" s="394" t="s">
        <v>1967</v>
      </c>
      <c r="B1106" s="793" t="s">
        <v>1089</v>
      </c>
      <c r="C1106" s="310" t="s">
        <v>1687</v>
      </c>
      <c r="D1106" s="321"/>
      <c r="E1106" s="352"/>
      <c r="F1106" s="352"/>
      <c r="G1106" s="352"/>
      <c r="H1106" s="352">
        <v>0</v>
      </c>
    </row>
    <row r="1107" spans="1:9">
      <c r="A1107" s="395" t="s">
        <v>1969</v>
      </c>
      <c r="B1107" s="792">
        <v>365100450000000</v>
      </c>
      <c r="C1107" s="313" t="s">
        <v>1088</v>
      </c>
      <c r="D1107" s="322"/>
      <c r="E1107" s="328">
        <f t="shared" si="18"/>
        <v>17111727.780000001</v>
      </c>
      <c r="F1107" s="347">
        <v>17111727.780000001</v>
      </c>
      <c r="G1107" s="347"/>
      <c r="H1107" s="328">
        <v>13801743.380000001</v>
      </c>
      <c r="I1107" s="210"/>
    </row>
    <row r="1108" spans="1:9">
      <c r="A1108" s="394" t="s">
        <v>1967</v>
      </c>
      <c r="B1108" s="793" t="s">
        <v>1091</v>
      </c>
      <c r="C1108" s="310" t="s">
        <v>1688</v>
      </c>
      <c r="D1108" s="321"/>
      <c r="E1108" s="352"/>
      <c r="F1108" s="352"/>
      <c r="G1108" s="352"/>
      <c r="H1108" s="352">
        <v>0</v>
      </c>
    </row>
    <row r="1109" spans="1:9">
      <c r="A1109" s="395" t="s">
        <v>1969</v>
      </c>
      <c r="B1109" s="792">
        <v>365100500100000</v>
      </c>
      <c r="C1109" s="313" t="s">
        <v>1092</v>
      </c>
      <c r="D1109" s="322"/>
      <c r="E1109" s="328">
        <f t="shared" si="18"/>
        <v>0</v>
      </c>
      <c r="F1109" s="347"/>
      <c r="G1109" s="347"/>
      <c r="H1109" s="328">
        <v>0</v>
      </c>
      <c r="I1109" s="210"/>
    </row>
    <row r="1110" spans="1:9">
      <c r="A1110" s="395" t="s">
        <v>1969</v>
      </c>
      <c r="B1110" s="792">
        <v>365100500200000</v>
      </c>
      <c r="C1110" s="313" t="s">
        <v>1093</v>
      </c>
      <c r="D1110" s="322"/>
      <c r="E1110" s="328">
        <f t="shared" si="18"/>
        <v>0</v>
      </c>
      <c r="F1110" s="347"/>
      <c r="G1110" s="347"/>
      <c r="H1110" s="328">
        <v>0</v>
      </c>
      <c r="I1110" s="210"/>
    </row>
    <row r="1111" spans="1:9">
      <c r="A1111" s="395" t="s">
        <v>1969</v>
      </c>
      <c r="B1111" s="792">
        <v>365100500900000</v>
      </c>
      <c r="C1111" s="313" t="s">
        <v>1090</v>
      </c>
      <c r="D1111" s="322"/>
      <c r="E1111" s="328">
        <f t="shared" si="18"/>
        <v>0</v>
      </c>
      <c r="F1111" s="347"/>
      <c r="G1111" s="347"/>
      <c r="H1111" s="328">
        <v>0</v>
      </c>
      <c r="I1111" s="210"/>
    </row>
    <row r="1112" spans="1:9">
      <c r="A1112" s="394" t="s">
        <v>1967</v>
      </c>
      <c r="B1112" s="793" t="s">
        <v>1095</v>
      </c>
      <c r="C1112" s="310" t="s">
        <v>2575</v>
      </c>
      <c r="D1112" s="321"/>
      <c r="E1112" s="352"/>
      <c r="F1112" s="352"/>
      <c r="G1112" s="352"/>
      <c r="H1112" s="352">
        <v>0</v>
      </c>
    </row>
    <row r="1113" spans="1:9">
      <c r="A1113" s="395" t="s">
        <v>1969</v>
      </c>
      <c r="B1113" s="792">
        <v>365100600000000</v>
      </c>
      <c r="C1113" s="313" t="s">
        <v>1094</v>
      </c>
      <c r="D1113" s="322"/>
      <c r="E1113" s="328">
        <f t="shared" si="18"/>
        <v>0</v>
      </c>
      <c r="F1113" s="347"/>
      <c r="G1113" s="347"/>
      <c r="H1113" s="328">
        <v>1000000</v>
      </c>
      <c r="I1113" s="210"/>
    </row>
    <row r="1114" spans="1:9">
      <c r="A1114" s="394" t="s">
        <v>1965</v>
      </c>
      <c r="B1114" s="793" t="s">
        <v>1096</v>
      </c>
      <c r="C1114" s="310" t="s">
        <v>1690</v>
      </c>
      <c r="D1114" s="321"/>
      <c r="E1114" s="352"/>
      <c r="F1114" s="352"/>
      <c r="G1114" s="352"/>
      <c r="H1114" s="352">
        <v>0</v>
      </c>
    </row>
    <row r="1115" spans="1:9">
      <c r="A1115" s="395">
        <v>5</v>
      </c>
      <c r="B1115" s="792">
        <v>365200100000000</v>
      </c>
      <c r="C1115" s="313" t="s">
        <v>1097</v>
      </c>
      <c r="D1115" s="322"/>
      <c r="E1115" s="328">
        <f t="shared" si="18"/>
        <v>0</v>
      </c>
      <c r="F1115" s="347"/>
      <c r="G1115" s="347"/>
      <c r="H1115" s="328">
        <v>0</v>
      </c>
      <c r="I1115" s="210"/>
    </row>
    <row r="1116" spans="1:9">
      <c r="A1116" s="395">
        <v>5</v>
      </c>
      <c r="B1116" s="792">
        <v>365200200000000</v>
      </c>
      <c r="C1116" s="313" t="s">
        <v>1098</v>
      </c>
      <c r="D1116" s="322"/>
      <c r="E1116" s="328">
        <f t="shared" si="18"/>
        <v>0</v>
      </c>
      <c r="F1116" s="347"/>
      <c r="G1116" s="347"/>
      <c r="H1116" s="328">
        <v>0</v>
      </c>
      <c r="I1116" s="210"/>
    </row>
    <row r="1117" spans="1:9" ht="25.5">
      <c r="A1117" s="394" t="s">
        <v>1965</v>
      </c>
      <c r="B1117" s="793" t="s">
        <v>1099</v>
      </c>
      <c r="C1117" s="310" t="s">
        <v>2576</v>
      </c>
      <c r="D1117" s="321"/>
      <c r="E1117" s="352"/>
      <c r="F1117" s="352"/>
      <c r="G1117" s="352"/>
      <c r="H1117" s="352">
        <v>0</v>
      </c>
    </row>
    <row r="1118" spans="1:9" ht="25.5">
      <c r="A1118" s="394" t="s">
        <v>1967</v>
      </c>
      <c r="B1118" s="793" t="s">
        <v>1100</v>
      </c>
      <c r="C1118" s="310" t="s">
        <v>1692</v>
      </c>
      <c r="D1118" s="321"/>
      <c r="E1118" s="352"/>
      <c r="F1118" s="352"/>
      <c r="G1118" s="352"/>
      <c r="H1118" s="352">
        <v>0</v>
      </c>
    </row>
    <row r="1119" spans="1:9" ht="24">
      <c r="A1119" s="395" t="s">
        <v>1969</v>
      </c>
      <c r="B1119" s="792">
        <v>365300050000000</v>
      </c>
      <c r="C1119" s="313" t="s">
        <v>2577</v>
      </c>
      <c r="D1119" s="322"/>
      <c r="E1119" s="328">
        <f t="shared" si="18"/>
        <v>2472260.96</v>
      </c>
      <c r="F1119" s="347">
        <v>2472260.96</v>
      </c>
      <c r="G1119" s="347"/>
      <c r="H1119" s="328">
        <v>15774563</v>
      </c>
      <c r="I1119" s="210"/>
    </row>
    <row r="1120" spans="1:9" ht="25.5">
      <c r="A1120" s="394" t="s">
        <v>1967</v>
      </c>
      <c r="B1120" s="793" t="s">
        <v>1102</v>
      </c>
      <c r="C1120" s="310" t="s">
        <v>1693</v>
      </c>
      <c r="D1120" s="321"/>
      <c r="E1120" s="352"/>
      <c r="F1120" s="352"/>
      <c r="G1120" s="352"/>
      <c r="H1120" s="352">
        <v>0</v>
      </c>
    </row>
    <row r="1121" spans="1:9" ht="24">
      <c r="A1121" s="395" t="s">
        <v>1969</v>
      </c>
      <c r="B1121" s="792">
        <v>365300100000000</v>
      </c>
      <c r="C1121" s="313" t="s">
        <v>1101</v>
      </c>
      <c r="D1121" s="322"/>
      <c r="E1121" s="328">
        <f t="shared" si="18"/>
        <v>0</v>
      </c>
      <c r="F1121" s="347"/>
      <c r="G1121" s="347"/>
      <c r="H1121" s="328">
        <v>0</v>
      </c>
      <c r="I1121" s="210"/>
    </row>
    <row r="1122" spans="1:9" ht="25.5">
      <c r="A1122" s="394" t="s">
        <v>1967</v>
      </c>
      <c r="B1122" s="793" t="s">
        <v>1104</v>
      </c>
      <c r="C1122" s="310" t="s">
        <v>1694</v>
      </c>
      <c r="D1122" s="321"/>
      <c r="E1122" s="352"/>
      <c r="F1122" s="352"/>
      <c r="G1122" s="352"/>
      <c r="H1122" s="352">
        <v>0</v>
      </c>
    </row>
    <row r="1123" spans="1:9" ht="24">
      <c r="A1123" s="395" t="s">
        <v>1969</v>
      </c>
      <c r="B1123" s="792">
        <v>365300200000000</v>
      </c>
      <c r="C1123" s="313" t="s">
        <v>1103</v>
      </c>
      <c r="D1123" s="322"/>
      <c r="E1123" s="328">
        <f t="shared" si="18"/>
        <v>30854886.870000001</v>
      </c>
      <c r="F1123" s="347">
        <v>30854886.870000001</v>
      </c>
      <c r="G1123" s="347"/>
      <c r="H1123" s="328">
        <v>2103220.54</v>
      </c>
      <c r="I1123" s="210"/>
    </row>
    <row r="1124" spans="1:9" ht="25.5">
      <c r="A1124" s="394" t="s">
        <v>1967</v>
      </c>
      <c r="B1124" s="793" t="s">
        <v>1106</v>
      </c>
      <c r="C1124" s="310" t="s">
        <v>1695</v>
      </c>
      <c r="D1124" s="321"/>
      <c r="E1124" s="352"/>
      <c r="F1124" s="352"/>
      <c r="G1124" s="352"/>
      <c r="H1124" s="352">
        <v>0</v>
      </c>
    </row>
    <row r="1125" spans="1:9" ht="24">
      <c r="A1125" s="395" t="s">
        <v>1969</v>
      </c>
      <c r="B1125" s="792">
        <v>365300300000000</v>
      </c>
      <c r="C1125" s="313" t="s">
        <v>1105</v>
      </c>
      <c r="D1125" s="322"/>
      <c r="E1125" s="328">
        <f t="shared" si="18"/>
        <v>0</v>
      </c>
      <c r="F1125" s="347"/>
      <c r="G1125" s="347"/>
      <c r="H1125" s="328">
        <v>0</v>
      </c>
      <c r="I1125" s="210"/>
    </row>
    <row r="1126" spans="1:9" ht="25.5">
      <c r="A1126" s="394" t="s">
        <v>1967</v>
      </c>
      <c r="B1126" s="793" t="s">
        <v>1107</v>
      </c>
      <c r="C1126" s="310" t="s">
        <v>1696</v>
      </c>
      <c r="D1126" s="321"/>
      <c r="E1126" s="352"/>
      <c r="F1126" s="352"/>
      <c r="G1126" s="352"/>
      <c r="H1126" s="352">
        <v>0</v>
      </c>
    </row>
    <row r="1127" spans="1:9" ht="24">
      <c r="A1127" s="395">
        <v>6</v>
      </c>
      <c r="B1127" s="792">
        <v>365300400100000</v>
      </c>
      <c r="C1127" s="313" t="s">
        <v>1108</v>
      </c>
      <c r="D1127" s="322"/>
      <c r="E1127" s="328">
        <f t="shared" si="18"/>
        <v>0</v>
      </c>
      <c r="F1127" s="347"/>
      <c r="G1127" s="347"/>
      <c r="H1127" s="328">
        <v>0</v>
      </c>
      <c r="I1127" s="210"/>
    </row>
    <row r="1128" spans="1:9" ht="24">
      <c r="A1128" s="395">
        <v>6</v>
      </c>
      <c r="B1128" s="792">
        <v>365300400200000</v>
      </c>
      <c r="C1128" s="313" t="s">
        <v>1109</v>
      </c>
      <c r="D1128" s="322"/>
      <c r="E1128" s="328">
        <f t="shared" si="18"/>
        <v>106568.58</v>
      </c>
      <c r="F1128" s="347">
        <v>106568.58</v>
      </c>
      <c r="G1128" s="347"/>
      <c r="H1128" s="328">
        <v>225.23</v>
      </c>
      <c r="I1128" s="210"/>
    </row>
    <row r="1129" spans="1:9" ht="25.5">
      <c r="A1129" s="394" t="s">
        <v>1967</v>
      </c>
      <c r="B1129" s="793" t="s">
        <v>1111</v>
      </c>
      <c r="C1129" s="310" t="s">
        <v>1697</v>
      </c>
      <c r="D1129" s="321"/>
      <c r="E1129" s="352"/>
      <c r="F1129" s="352"/>
      <c r="G1129" s="352"/>
      <c r="H1129" s="352">
        <v>0</v>
      </c>
    </row>
    <row r="1130" spans="1:9" ht="24">
      <c r="A1130" s="395" t="s">
        <v>1969</v>
      </c>
      <c r="B1130" s="792">
        <v>365300500000000</v>
      </c>
      <c r="C1130" s="313" t="s">
        <v>1110</v>
      </c>
      <c r="D1130" s="322"/>
      <c r="E1130" s="328">
        <f t="shared" si="18"/>
        <v>0</v>
      </c>
      <c r="F1130" s="347"/>
      <c r="G1130" s="347"/>
      <c r="H1130" s="328">
        <v>0</v>
      </c>
      <c r="I1130" s="210"/>
    </row>
    <row r="1131" spans="1:9">
      <c r="A1131" s="394" t="s">
        <v>1965</v>
      </c>
      <c r="B1131" s="793" t="s">
        <v>1113</v>
      </c>
      <c r="C1131" s="310" t="s">
        <v>1698</v>
      </c>
      <c r="D1131" s="321"/>
      <c r="E1131" s="352"/>
      <c r="F1131" s="352"/>
      <c r="G1131" s="352"/>
      <c r="H1131" s="352">
        <v>0</v>
      </c>
    </row>
    <row r="1132" spans="1:9">
      <c r="A1132" s="394" t="s">
        <v>1967</v>
      </c>
      <c r="B1132" s="793" t="s">
        <v>1115</v>
      </c>
      <c r="C1132" s="310" t="s">
        <v>1699</v>
      </c>
      <c r="D1132" s="321"/>
      <c r="E1132" s="352"/>
      <c r="F1132" s="352"/>
      <c r="G1132" s="352"/>
      <c r="H1132" s="352">
        <v>0</v>
      </c>
    </row>
    <row r="1133" spans="1:9">
      <c r="A1133" s="395" t="s">
        <v>1969</v>
      </c>
      <c r="B1133" s="792">
        <v>365400200000000</v>
      </c>
      <c r="C1133" s="313" t="s">
        <v>1114</v>
      </c>
      <c r="D1133" s="322"/>
      <c r="E1133" s="328">
        <f t="shared" si="18"/>
        <v>0</v>
      </c>
      <c r="F1133" s="347"/>
      <c r="G1133" s="347"/>
      <c r="H1133" s="328">
        <v>0</v>
      </c>
      <c r="I1133" s="210"/>
    </row>
    <row r="1134" spans="1:9">
      <c r="A1134" s="394" t="s">
        <v>1967</v>
      </c>
      <c r="B1134" s="793" t="s">
        <v>1117</v>
      </c>
      <c r="C1134" s="310" t="s">
        <v>1700</v>
      </c>
      <c r="D1134" s="321"/>
      <c r="E1134" s="352"/>
      <c r="F1134" s="352"/>
      <c r="G1134" s="352"/>
      <c r="H1134" s="352">
        <v>0</v>
      </c>
    </row>
    <row r="1135" spans="1:9">
      <c r="A1135" s="395" t="s">
        <v>1969</v>
      </c>
      <c r="B1135" s="792">
        <v>365400300000000</v>
      </c>
      <c r="C1135" s="313" t="s">
        <v>1116</v>
      </c>
      <c r="D1135" s="322"/>
      <c r="E1135" s="328">
        <f t="shared" si="18"/>
        <v>0</v>
      </c>
      <c r="F1135" s="347"/>
      <c r="G1135" s="347"/>
      <c r="H1135" s="328">
        <v>0</v>
      </c>
      <c r="I1135" s="210"/>
    </row>
    <row r="1136" spans="1:9">
      <c r="A1136" s="394" t="s">
        <v>1967</v>
      </c>
      <c r="B1136" s="793" t="s">
        <v>1119</v>
      </c>
      <c r="C1136" s="310" t="s">
        <v>1701</v>
      </c>
      <c r="D1136" s="321"/>
      <c r="E1136" s="352"/>
      <c r="F1136" s="352"/>
      <c r="G1136" s="352"/>
      <c r="H1136" s="352">
        <v>0</v>
      </c>
    </row>
    <row r="1137" spans="1:9">
      <c r="A1137" s="395" t="s">
        <v>1969</v>
      </c>
      <c r="B1137" s="792">
        <v>365400400000000</v>
      </c>
      <c r="C1137" s="313" t="s">
        <v>1118</v>
      </c>
      <c r="D1137" s="322"/>
      <c r="E1137" s="328">
        <f t="shared" si="18"/>
        <v>14205.720000000001</v>
      </c>
      <c r="F1137" s="347">
        <f>22075-7869.28</f>
        <v>14205.720000000001</v>
      </c>
      <c r="G1137" s="347"/>
      <c r="H1137" s="328">
        <v>2013788.41</v>
      </c>
      <c r="I1137" s="210"/>
    </row>
    <row r="1138" spans="1:9">
      <c r="A1138" s="394" t="s">
        <v>1967</v>
      </c>
      <c r="B1138" s="793" t="s">
        <v>1121</v>
      </c>
      <c r="C1138" s="310" t="s">
        <v>1702</v>
      </c>
      <c r="D1138" s="321"/>
      <c r="E1138" s="352"/>
      <c r="F1138" s="352"/>
      <c r="G1138" s="352"/>
      <c r="H1138" s="352">
        <v>0</v>
      </c>
    </row>
    <row r="1139" spans="1:9">
      <c r="A1139" s="395" t="s">
        <v>1969</v>
      </c>
      <c r="B1139" s="792">
        <v>365400500000000</v>
      </c>
      <c r="C1139" s="313" t="s">
        <v>1120</v>
      </c>
      <c r="D1139" s="322"/>
      <c r="E1139" s="328">
        <f t="shared" si="18"/>
        <v>95349.72</v>
      </c>
      <c r="F1139" s="347">
        <f>47026+48323.72</f>
        <v>95349.72</v>
      </c>
      <c r="G1139" s="347"/>
      <c r="H1139" s="328">
        <v>68721.3</v>
      </c>
      <c r="I1139" s="210"/>
    </row>
    <row r="1140" spans="1:9">
      <c r="A1140" s="394" t="s">
        <v>1967</v>
      </c>
      <c r="B1140" s="793" t="s">
        <v>1123</v>
      </c>
      <c r="C1140" s="310" t="s">
        <v>1703</v>
      </c>
      <c r="D1140" s="321"/>
      <c r="E1140" s="352"/>
      <c r="F1140" s="352"/>
      <c r="G1140" s="352"/>
      <c r="H1140" s="352">
        <v>0</v>
      </c>
    </row>
    <row r="1141" spans="1:9">
      <c r="A1141" s="395" t="s">
        <v>1969</v>
      </c>
      <c r="B1141" s="792">
        <v>365400600000000</v>
      </c>
      <c r="C1141" s="313" t="s">
        <v>1122</v>
      </c>
      <c r="D1141" s="322"/>
      <c r="E1141" s="328">
        <f t="shared" si="18"/>
        <v>187243.47999999998</v>
      </c>
      <c r="F1141" s="347">
        <f>115648+71595.48</f>
        <v>187243.47999999998</v>
      </c>
      <c r="G1141" s="347"/>
      <c r="H1141" s="328">
        <v>0</v>
      </c>
      <c r="I1141" s="210"/>
    </row>
    <row r="1142" spans="1:9">
      <c r="A1142" s="394" t="s">
        <v>1967</v>
      </c>
      <c r="B1142" s="793" t="s">
        <v>1125</v>
      </c>
      <c r="C1142" s="310" t="s">
        <v>1704</v>
      </c>
      <c r="D1142" s="321"/>
      <c r="E1142" s="352"/>
      <c r="F1142" s="352"/>
      <c r="G1142" s="352"/>
      <c r="H1142" s="352">
        <v>0</v>
      </c>
    </row>
    <row r="1143" spans="1:9">
      <c r="A1143" s="395" t="s">
        <v>1969</v>
      </c>
      <c r="B1143" s="792">
        <v>365400610000000</v>
      </c>
      <c r="C1143" s="313" t="s">
        <v>1124</v>
      </c>
      <c r="D1143" s="322"/>
      <c r="E1143" s="328">
        <f t="shared" si="18"/>
        <v>0</v>
      </c>
      <c r="F1143" s="347"/>
      <c r="G1143" s="347"/>
      <c r="H1143" s="328">
        <v>0</v>
      </c>
      <c r="I1143" s="210"/>
    </row>
    <row r="1144" spans="1:9">
      <c r="A1144" s="394" t="s">
        <v>1967</v>
      </c>
      <c r="B1144" s="793" t="s">
        <v>1127</v>
      </c>
      <c r="C1144" s="310" t="s">
        <v>1705</v>
      </c>
      <c r="D1144" s="321"/>
      <c r="E1144" s="352"/>
      <c r="F1144" s="352"/>
      <c r="G1144" s="352"/>
      <c r="H1144" s="352">
        <v>0</v>
      </c>
    </row>
    <row r="1145" spans="1:9">
      <c r="A1145" s="395" t="s">
        <v>1969</v>
      </c>
      <c r="B1145" s="792">
        <v>365400620000000</v>
      </c>
      <c r="C1145" s="313" t="s">
        <v>1126</v>
      </c>
      <c r="D1145" s="322"/>
      <c r="E1145" s="328">
        <f t="shared" si="18"/>
        <v>0</v>
      </c>
      <c r="F1145" s="347"/>
      <c r="G1145" s="347"/>
      <c r="H1145" s="328">
        <v>0</v>
      </c>
      <c r="I1145" s="210"/>
    </row>
    <row r="1146" spans="1:9">
      <c r="A1146" s="394" t="s">
        <v>1967</v>
      </c>
      <c r="B1146" s="793" t="s">
        <v>1129</v>
      </c>
      <c r="C1146" s="310" t="s">
        <v>2578</v>
      </c>
      <c r="D1146" s="321"/>
      <c r="E1146" s="352"/>
      <c r="F1146" s="352"/>
      <c r="G1146" s="352"/>
      <c r="H1146" s="352">
        <v>0</v>
      </c>
    </row>
    <row r="1147" spans="1:9">
      <c r="A1147" s="395" t="s">
        <v>1969</v>
      </c>
      <c r="B1147" s="792">
        <v>365400630000000</v>
      </c>
      <c r="C1147" s="313" t="s">
        <v>1128</v>
      </c>
      <c r="D1147" s="322"/>
      <c r="E1147" s="328">
        <f t="shared" ref="E1147:E1208" si="19">+F1147+G1147</f>
        <v>0</v>
      </c>
      <c r="F1147" s="347"/>
      <c r="G1147" s="347"/>
      <c r="H1147" s="328">
        <v>0</v>
      </c>
      <c r="I1147" s="210"/>
    </row>
    <row r="1148" spans="1:9" ht="25.5">
      <c r="A1148" s="394" t="s">
        <v>1967</v>
      </c>
      <c r="B1148" s="793" t="s">
        <v>1131</v>
      </c>
      <c r="C1148" s="310" t="s">
        <v>1707</v>
      </c>
      <c r="D1148" s="321"/>
      <c r="E1148" s="352"/>
      <c r="F1148" s="352"/>
      <c r="G1148" s="352"/>
      <c r="H1148" s="352">
        <v>0</v>
      </c>
    </row>
    <row r="1149" spans="1:9">
      <c r="A1149" s="395" t="s">
        <v>1969</v>
      </c>
      <c r="B1149" s="792">
        <v>365400640000000</v>
      </c>
      <c r="C1149" s="313" t="s">
        <v>1130</v>
      </c>
      <c r="D1149" s="322"/>
      <c r="E1149" s="328">
        <f t="shared" si="19"/>
        <v>249330.8</v>
      </c>
      <c r="F1149" s="347">
        <v>249330.8</v>
      </c>
      <c r="G1149" s="347"/>
      <c r="H1149" s="328">
        <v>3449.65</v>
      </c>
      <c r="I1149" s="210"/>
    </row>
    <row r="1150" spans="1:9">
      <c r="A1150" s="394" t="s">
        <v>1967</v>
      </c>
      <c r="B1150" s="793" t="s">
        <v>1132</v>
      </c>
      <c r="C1150" s="310" t="s">
        <v>1708</v>
      </c>
      <c r="D1150" s="321"/>
      <c r="E1150" s="352"/>
      <c r="F1150" s="352"/>
      <c r="G1150" s="352"/>
      <c r="H1150" s="352">
        <v>0</v>
      </c>
    </row>
    <row r="1151" spans="1:9">
      <c r="A1151" s="395" t="s">
        <v>1969</v>
      </c>
      <c r="B1151" s="792">
        <v>365400700000000</v>
      </c>
      <c r="C1151" s="313" t="s">
        <v>1112</v>
      </c>
      <c r="D1151" s="322"/>
      <c r="E1151" s="328">
        <f t="shared" si="19"/>
        <v>0</v>
      </c>
      <c r="F1151" s="347"/>
      <c r="G1151" s="347"/>
      <c r="H1151" s="328">
        <v>525113.68999999994</v>
      </c>
      <c r="I1151" s="210"/>
    </row>
    <row r="1152" spans="1:9">
      <c r="A1152" s="394">
        <v>2</v>
      </c>
      <c r="B1152" s="793" t="s">
        <v>2579</v>
      </c>
      <c r="C1152" s="310" t="s">
        <v>2580</v>
      </c>
      <c r="D1152" s="321"/>
      <c r="E1152" s="352"/>
      <c r="F1152" s="352"/>
      <c r="G1152" s="352"/>
      <c r="H1152" s="352">
        <v>0</v>
      </c>
    </row>
    <row r="1153" spans="1:9">
      <c r="A1153" s="394" t="s">
        <v>1963</v>
      </c>
      <c r="B1153" s="793" t="s">
        <v>1133</v>
      </c>
      <c r="C1153" s="310" t="s">
        <v>2582</v>
      </c>
      <c r="D1153" s="321"/>
      <c r="E1153" s="352"/>
      <c r="F1153" s="352"/>
      <c r="G1153" s="352"/>
      <c r="H1153" s="352">
        <v>0</v>
      </c>
    </row>
    <row r="1154" spans="1:9">
      <c r="A1154" s="394" t="s">
        <v>1965</v>
      </c>
      <c r="B1154" s="793" t="s">
        <v>1135</v>
      </c>
      <c r="C1154" s="310" t="s">
        <v>1723</v>
      </c>
      <c r="D1154" s="321"/>
      <c r="E1154" s="352"/>
      <c r="F1154" s="352"/>
      <c r="G1154" s="352"/>
      <c r="H1154" s="352">
        <v>0</v>
      </c>
    </row>
    <row r="1155" spans="1:9">
      <c r="A1155" s="395" t="s">
        <v>1967</v>
      </c>
      <c r="B1155" s="792">
        <v>370100000000000</v>
      </c>
      <c r="C1155" s="313" t="s">
        <v>1134</v>
      </c>
      <c r="D1155" s="322"/>
      <c r="E1155" s="328">
        <f t="shared" si="19"/>
        <v>0</v>
      </c>
      <c r="F1155" s="347"/>
      <c r="G1155" s="347"/>
      <c r="H1155" s="328">
        <v>0</v>
      </c>
      <c r="I1155" s="210"/>
    </row>
    <row r="1156" spans="1:9">
      <c r="A1156" s="394" t="s">
        <v>1965</v>
      </c>
      <c r="B1156" s="793" t="s">
        <v>1137</v>
      </c>
      <c r="C1156" s="310" t="s">
        <v>1724</v>
      </c>
      <c r="D1156" s="321"/>
      <c r="E1156" s="352"/>
      <c r="F1156" s="352"/>
      <c r="G1156" s="352"/>
      <c r="H1156" s="352">
        <v>0</v>
      </c>
    </row>
    <row r="1157" spans="1:9">
      <c r="A1157" s="395" t="s">
        <v>1967</v>
      </c>
      <c r="B1157" s="792">
        <v>370200000000000</v>
      </c>
      <c r="C1157" s="313" t="s">
        <v>1136</v>
      </c>
      <c r="D1157" s="322"/>
      <c r="E1157" s="328">
        <f t="shared" si="19"/>
        <v>0</v>
      </c>
      <c r="F1157" s="347"/>
      <c r="G1157" s="347"/>
      <c r="H1157" s="328">
        <v>0</v>
      </c>
      <c r="I1157" s="210"/>
    </row>
    <row r="1158" spans="1:9">
      <c r="A1158" s="394" t="s">
        <v>1965</v>
      </c>
      <c r="B1158" s="793" t="s">
        <v>1139</v>
      </c>
      <c r="C1158" s="310" t="s">
        <v>1725</v>
      </c>
      <c r="D1158" s="321"/>
      <c r="E1158" s="352"/>
      <c r="F1158" s="352"/>
      <c r="G1158" s="352"/>
      <c r="H1158" s="352">
        <v>0</v>
      </c>
    </row>
    <row r="1159" spans="1:9">
      <c r="A1159" s="395">
        <v>5</v>
      </c>
      <c r="B1159" s="792">
        <v>370300100000000</v>
      </c>
      <c r="C1159" s="313" t="s">
        <v>2583</v>
      </c>
      <c r="D1159" s="322"/>
      <c r="E1159" s="328">
        <f t="shared" si="19"/>
        <v>0</v>
      </c>
      <c r="F1159" s="347"/>
      <c r="G1159" s="347"/>
      <c r="H1159" s="328">
        <v>0</v>
      </c>
      <c r="I1159" s="210"/>
    </row>
    <row r="1160" spans="1:9">
      <c r="A1160" s="395">
        <v>5</v>
      </c>
      <c r="B1160" s="792">
        <v>370300900000000</v>
      </c>
      <c r="C1160" s="313" t="s">
        <v>1138</v>
      </c>
      <c r="D1160" s="322"/>
      <c r="E1160" s="328">
        <f t="shared" si="19"/>
        <v>0</v>
      </c>
      <c r="F1160" s="347"/>
      <c r="G1160" s="347"/>
      <c r="H1160" s="328">
        <v>0</v>
      </c>
      <c r="I1160" s="210"/>
    </row>
    <row r="1161" spans="1:9">
      <c r="A1161" s="394" t="s">
        <v>1963</v>
      </c>
      <c r="B1161" s="793" t="s">
        <v>1726</v>
      </c>
      <c r="C1161" s="310" t="s">
        <v>1727</v>
      </c>
      <c r="D1161" s="321"/>
      <c r="E1161" s="352"/>
      <c r="F1161" s="352"/>
      <c r="G1161" s="352"/>
      <c r="H1161" s="352">
        <v>0</v>
      </c>
    </row>
    <row r="1162" spans="1:9">
      <c r="A1162" s="394" t="s">
        <v>1965</v>
      </c>
      <c r="B1162" s="793" t="s">
        <v>1141</v>
      </c>
      <c r="C1162" s="310" t="s">
        <v>1728</v>
      </c>
      <c r="D1162" s="321"/>
      <c r="E1162" s="352"/>
      <c r="F1162" s="352"/>
      <c r="G1162" s="352"/>
      <c r="H1162" s="352">
        <v>0</v>
      </c>
    </row>
    <row r="1163" spans="1:9">
      <c r="A1163" s="395" t="s">
        <v>1967</v>
      </c>
      <c r="B1163" s="792">
        <v>375100000000000</v>
      </c>
      <c r="C1163" s="313" t="s">
        <v>1140</v>
      </c>
      <c r="D1163" s="322"/>
      <c r="E1163" s="328">
        <f t="shared" si="19"/>
        <v>0</v>
      </c>
      <c r="F1163" s="347"/>
      <c r="G1163" s="347"/>
      <c r="H1163" s="328">
        <v>0</v>
      </c>
      <c r="I1163" s="210"/>
    </row>
    <row r="1164" spans="1:9">
      <c r="A1164" s="394" t="s">
        <v>1965</v>
      </c>
      <c r="B1164" s="793" t="s">
        <v>1143</v>
      </c>
      <c r="C1164" s="310" t="s">
        <v>1729</v>
      </c>
      <c r="D1164" s="321"/>
      <c r="E1164" s="352"/>
      <c r="F1164" s="352"/>
      <c r="G1164" s="352"/>
      <c r="H1164" s="352">
        <v>0</v>
      </c>
    </row>
    <row r="1165" spans="1:9">
      <c r="A1165" s="395" t="s">
        <v>1967</v>
      </c>
      <c r="B1165" s="792">
        <v>375200000000000</v>
      </c>
      <c r="C1165" s="313" t="s">
        <v>1142</v>
      </c>
      <c r="D1165" s="322"/>
      <c r="E1165" s="328">
        <f t="shared" si="19"/>
        <v>0</v>
      </c>
      <c r="F1165" s="347"/>
      <c r="G1165" s="347"/>
      <c r="H1165" s="328">
        <v>0</v>
      </c>
      <c r="I1165" s="210"/>
    </row>
    <row r="1166" spans="1:9">
      <c r="A1166" s="394">
        <v>2</v>
      </c>
      <c r="B1166" s="793" t="s">
        <v>2584</v>
      </c>
      <c r="C1166" s="310" t="s">
        <v>2585</v>
      </c>
      <c r="D1166" s="310"/>
      <c r="E1166" s="354"/>
      <c r="F1166" s="354"/>
      <c r="G1166" s="354"/>
      <c r="H1166" s="354">
        <v>0</v>
      </c>
    </row>
    <row r="1167" spans="1:9">
      <c r="A1167" s="394" t="s">
        <v>1963</v>
      </c>
      <c r="B1167" s="793" t="s">
        <v>1145</v>
      </c>
      <c r="C1167" s="310" t="s">
        <v>2587</v>
      </c>
      <c r="D1167" s="310"/>
      <c r="E1167" s="354"/>
      <c r="F1167" s="354"/>
      <c r="G1167" s="354"/>
      <c r="H1167" s="354">
        <v>0</v>
      </c>
    </row>
    <row r="1168" spans="1:9">
      <c r="A1168" s="395" t="s">
        <v>1965</v>
      </c>
      <c r="B1168" s="792">
        <v>380000000000000</v>
      </c>
      <c r="C1168" s="313" t="s">
        <v>1144</v>
      </c>
      <c r="D1168" s="322"/>
      <c r="E1168" s="328">
        <f t="shared" si="19"/>
        <v>0</v>
      </c>
      <c r="F1168" s="347"/>
      <c r="G1168" s="347"/>
      <c r="H1168" s="328">
        <v>0</v>
      </c>
      <c r="I1168" s="210"/>
    </row>
    <row r="1169" spans="1:9">
      <c r="A1169" s="386" t="s">
        <v>1960</v>
      </c>
      <c r="B1169" s="793" t="s">
        <v>2588</v>
      </c>
      <c r="C1169" s="309" t="s">
        <v>2589</v>
      </c>
      <c r="D1169" s="311"/>
      <c r="E1169" s="355"/>
      <c r="F1169" s="355"/>
      <c r="G1169" s="355"/>
      <c r="H1169" s="355">
        <v>0</v>
      </c>
    </row>
    <row r="1170" spans="1:9">
      <c r="A1170" s="394" t="s">
        <v>1963</v>
      </c>
      <c r="B1170" s="793" t="s">
        <v>1146</v>
      </c>
      <c r="C1170" s="310" t="s">
        <v>1766</v>
      </c>
      <c r="D1170" s="321"/>
      <c r="E1170" s="352"/>
      <c r="F1170" s="352"/>
      <c r="G1170" s="352"/>
      <c r="H1170" s="352">
        <v>0</v>
      </c>
    </row>
    <row r="1171" spans="1:9">
      <c r="A1171" s="394" t="s">
        <v>1965</v>
      </c>
      <c r="B1171" s="793" t="s">
        <v>1148</v>
      </c>
      <c r="C1171" s="310" t="s">
        <v>1767</v>
      </c>
      <c r="D1171" s="321"/>
      <c r="E1171" s="352"/>
      <c r="F1171" s="352"/>
      <c r="G1171" s="352"/>
      <c r="H1171" s="352">
        <v>0</v>
      </c>
    </row>
    <row r="1172" spans="1:9">
      <c r="A1172" s="395" t="s">
        <v>1967</v>
      </c>
      <c r="B1172" s="792">
        <v>390100000000000</v>
      </c>
      <c r="C1172" s="313" t="s">
        <v>1147</v>
      </c>
      <c r="D1172" s="322"/>
      <c r="E1172" s="328">
        <f t="shared" si="19"/>
        <v>405.65</v>
      </c>
      <c r="F1172" s="347">
        <v>405.65</v>
      </c>
      <c r="G1172" s="347"/>
      <c r="H1172" s="328">
        <v>0</v>
      </c>
      <c r="I1172" s="210"/>
    </row>
    <row r="1173" spans="1:9">
      <c r="A1173" s="394" t="s">
        <v>1965</v>
      </c>
      <c r="B1173" s="793" t="s">
        <v>1150</v>
      </c>
      <c r="C1173" s="310" t="s">
        <v>1768</v>
      </c>
      <c r="D1173" s="321"/>
      <c r="E1173" s="352"/>
      <c r="F1173" s="352"/>
      <c r="G1173" s="352"/>
      <c r="H1173" s="352">
        <v>0</v>
      </c>
    </row>
    <row r="1174" spans="1:9">
      <c r="A1174" s="394" t="s">
        <v>1967</v>
      </c>
      <c r="B1174" s="793" t="s">
        <v>1152</v>
      </c>
      <c r="C1174" s="310" t="s">
        <v>1769</v>
      </c>
      <c r="D1174" s="321"/>
      <c r="E1174" s="352"/>
      <c r="F1174" s="352"/>
      <c r="G1174" s="352"/>
      <c r="H1174" s="352">
        <v>0</v>
      </c>
    </row>
    <row r="1175" spans="1:9">
      <c r="A1175" s="395" t="s">
        <v>1969</v>
      </c>
      <c r="B1175" s="792">
        <v>390200100000000</v>
      </c>
      <c r="C1175" s="313" t="s">
        <v>1151</v>
      </c>
      <c r="D1175" s="322"/>
      <c r="E1175" s="328">
        <f t="shared" si="19"/>
        <v>0</v>
      </c>
      <c r="F1175" s="347"/>
      <c r="G1175" s="347"/>
      <c r="H1175" s="328">
        <v>0</v>
      </c>
      <c r="I1175" s="210"/>
    </row>
    <row r="1176" spans="1:9">
      <c r="A1176" s="394" t="s">
        <v>1967</v>
      </c>
      <c r="B1176" s="793" t="s">
        <v>1154</v>
      </c>
      <c r="C1176" s="310" t="s">
        <v>1770</v>
      </c>
      <c r="D1176" s="321"/>
      <c r="E1176" s="352"/>
      <c r="F1176" s="352"/>
      <c r="G1176" s="352"/>
      <c r="H1176" s="352">
        <v>0</v>
      </c>
    </row>
    <row r="1177" spans="1:9">
      <c r="A1177" s="395" t="s">
        <v>1969</v>
      </c>
      <c r="B1177" s="792">
        <v>390200200000000</v>
      </c>
      <c r="C1177" s="313" t="s">
        <v>1153</v>
      </c>
      <c r="D1177" s="322"/>
      <c r="E1177" s="328">
        <f t="shared" si="19"/>
        <v>0</v>
      </c>
      <c r="F1177" s="347"/>
      <c r="G1177" s="347"/>
      <c r="H1177" s="328">
        <v>0</v>
      </c>
      <c r="I1177" s="210"/>
    </row>
    <row r="1178" spans="1:9">
      <c r="A1178" s="394" t="s">
        <v>1967</v>
      </c>
      <c r="B1178" s="793" t="s">
        <v>1155</v>
      </c>
      <c r="C1178" s="310" t="s">
        <v>1771</v>
      </c>
      <c r="D1178" s="321"/>
      <c r="E1178" s="352"/>
      <c r="F1178" s="352"/>
      <c r="G1178" s="352"/>
      <c r="H1178" s="352">
        <v>0</v>
      </c>
    </row>
    <row r="1179" spans="1:9" ht="25.5">
      <c r="A1179" s="394" t="s">
        <v>1969</v>
      </c>
      <c r="B1179" s="793" t="s">
        <v>1156</v>
      </c>
      <c r="C1179" s="310" t="s">
        <v>1772</v>
      </c>
      <c r="D1179" s="321" t="s">
        <v>1248</v>
      </c>
      <c r="E1179" s="352"/>
      <c r="F1179" s="352"/>
      <c r="G1179" s="352"/>
      <c r="H1179" s="352">
        <v>0</v>
      </c>
    </row>
    <row r="1180" spans="1:9" ht="25.5">
      <c r="A1180" s="394" t="s">
        <v>1970</v>
      </c>
      <c r="B1180" s="793" t="s">
        <v>1158</v>
      </c>
      <c r="C1180" s="310" t="s">
        <v>1773</v>
      </c>
      <c r="D1180" s="321" t="s">
        <v>1248</v>
      </c>
      <c r="E1180" s="352"/>
      <c r="F1180" s="352"/>
      <c r="G1180" s="352"/>
      <c r="H1180" s="352">
        <v>0</v>
      </c>
    </row>
    <row r="1181" spans="1:9" ht="24">
      <c r="A1181" s="395" t="s">
        <v>2017</v>
      </c>
      <c r="B1181" s="792">
        <v>390200300101000</v>
      </c>
      <c r="C1181" s="313" t="s">
        <v>1157</v>
      </c>
      <c r="D1181" s="322" t="s">
        <v>1248</v>
      </c>
      <c r="E1181" s="328">
        <f t="shared" si="19"/>
        <v>0</v>
      </c>
      <c r="F1181" s="347"/>
      <c r="G1181" s="347"/>
      <c r="H1181" s="328">
        <v>0</v>
      </c>
      <c r="I1181" s="210"/>
    </row>
    <row r="1182" spans="1:9" ht="25.5">
      <c r="A1182" s="394" t="s">
        <v>1970</v>
      </c>
      <c r="B1182" s="793" t="s">
        <v>1160</v>
      </c>
      <c r="C1182" s="310" t="s">
        <v>1774</v>
      </c>
      <c r="D1182" s="321" t="s">
        <v>1248</v>
      </c>
      <c r="E1182" s="352"/>
      <c r="F1182" s="352"/>
      <c r="G1182" s="352"/>
      <c r="H1182" s="352">
        <v>0</v>
      </c>
    </row>
    <row r="1183" spans="1:9" ht="24">
      <c r="A1183" s="395" t="s">
        <v>2017</v>
      </c>
      <c r="B1183" s="792">
        <v>390200300102000</v>
      </c>
      <c r="C1183" s="313" t="s">
        <v>1159</v>
      </c>
      <c r="D1183" s="322" t="s">
        <v>1248</v>
      </c>
      <c r="E1183" s="328">
        <f t="shared" si="19"/>
        <v>7001035.6100000003</v>
      </c>
      <c r="F1183" s="347">
        <v>7001035.6100000003</v>
      </c>
      <c r="G1183" s="347"/>
      <c r="H1183" s="328">
        <v>114209.15</v>
      </c>
      <c r="I1183" s="210"/>
    </row>
    <row r="1184" spans="1:9">
      <c r="A1184" s="394" t="s">
        <v>1969</v>
      </c>
      <c r="B1184" s="793" t="s">
        <v>1161</v>
      </c>
      <c r="C1184" s="310" t="s">
        <v>1775</v>
      </c>
      <c r="D1184" s="321"/>
      <c r="E1184" s="352"/>
      <c r="F1184" s="352"/>
      <c r="G1184" s="352"/>
      <c r="H1184" s="352">
        <v>0</v>
      </c>
    </row>
    <row r="1185" spans="1:9" ht="25.5">
      <c r="A1185" s="394" t="s">
        <v>1970</v>
      </c>
      <c r="B1185" s="793" t="s">
        <v>1163</v>
      </c>
      <c r="C1185" s="310" t="s">
        <v>1776</v>
      </c>
      <c r="D1185" s="321"/>
      <c r="E1185" s="352"/>
      <c r="F1185" s="352"/>
      <c r="G1185" s="352"/>
      <c r="H1185" s="352">
        <v>0</v>
      </c>
    </row>
    <row r="1186" spans="1:9" ht="24">
      <c r="A1186" s="395" t="s">
        <v>2017</v>
      </c>
      <c r="B1186" s="792">
        <v>390200300201000</v>
      </c>
      <c r="C1186" s="313" t="s">
        <v>1162</v>
      </c>
      <c r="D1186" s="322"/>
      <c r="E1186" s="328">
        <f t="shared" si="19"/>
        <v>0</v>
      </c>
      <c r="F1186" s="347"/>
      <c r="G1186" s="347"/>
      <c r="H1186" s="328">
        <v>0</v>
      </c>
      <c r="I1186" s="210"/>
    </row>
    <row r="1187" spans="1:9" ht="25.5">
      <c r="A1187" s="394" t="s">
        <v>1970</v>
      </c>
      <c r="B1187" s="793" t="s">
        <v>1164</v>
      </c>
      <c r="C1187" s="310" t="s">
        <v>1777</v>
      </c>
      <c r="D1187" s="321"/>
      <c r="E1187" s="352"/>
      <c r="F1187" s="352"/>
      <c r="G1187" s="352"/>
      <c r="H1187" s="352">
        <v>0</v>
      </c>
    </row>
    <row r="1188" spans="1:9" ht="25.5">
      <c r="A1188" s="394" t="s">
        <v>2017</v>
      </c>
      <c r="B1188" s="793" t="s">
        <v>1166</v>
      </c>
      <c r="C1188" s="310" t="s">
        <v>1778</v>
      </c>
      <c r="D1188" s="321"/>
      <c r="E1188" s="352"/>
      <c r="F1188" s="352"/>
      <c r="G1188" s="352"/>
      <c r="H1188" s="352">
        <v>0</v>
      </c>
    </row>
    <row r="1189" spans="1:9" ht="24">
      <c r="A1189" s="395" t="s">
        <v>2591</v>
      </c>
      <c r="B1189" s="792">
        <v>390200300202005</v>
      </c>
      <c r="C1189" s="313" t="s">
        <v>1165</v>
      </c>
      <c r="D1189" s="322"/>
      <c r="E1189" s="328">
        <f t="shared" si="19"/>
        <v>0</v>
      </c>
      <c r="F1189" s="347"/>
      <c r="G1189" s="347"/>
      <c r="H1189" s="328">
        <v>0</v>
      </c>
      <c r="I1189" s="210"/>
    </row>
    <row r="1190" spans="1:9" ht="25.5">
      <c r="A1190" s="394" t="s">
        <v>2017</v>
      </c>
      <c r="B1190" s="793" t="s">
        <v>1168</v>
      </c>
      <c r="C1190" s="310" t="s">
        <v>1779</v>
      </c>
      <c r="D1190" s="321"/>
      <c r="E1190" s="352"/>
      <c r="F1190" s="352"/>
      <c r="G1190" s="352"/>
      <c r="H1190" s="352">
        <v>0</v>
      </c>
    </row>
    <row r="1191" spans="1:9" ht="24">
      <c r="A1191" s="395" t="s">
        <v>2591</v>
      </c>
      <c r="B1191" s="792">
        <v>390200300202010</v>
      </c>
      <c r="C1191" s="313" t="s">
        <v>1167</v>
      </c>
      <c r="D1191" s="322"/>
      <c r="E1191" s="328">
        <f t="shared" si="19"/>
        <v>0</v>
      </c>
      <c r="F1191" s="347"/>
      <c r="G1191" s="347"/>
      <c r="H1191" s="328">
        <v>0</v>
      </c>
      <c r="I1191" s="210"/>
    </row>
    <row r="1192" spans="1:9" ht="25.5">
      <c r="A1192" s="394" t="s">
        <v>2017</v>
      </c>
      <c r="B1192" s="793" t="s">
        <v>1170</v>
      </c>
      <c r="C1192" s="310" t="s">
        <v>1780</v>
      </c>
      <c r="D1192" s="321"/>
      <c r="E1192" s="352"/>
      <c r="F1192" s="352"/>
      <c r="G1192" s="352"/>
      <c r="H1192" s="352">
        <v>0</v>
      </c>
    </row>
    <row r="1193" spans="1:9">
      <c r="A1193" s="395" t="s">
        <v>2591</v>
      </c>
      <c r="B1193" s="792">
        <v>390200300202015</v>
      </c>
      <c r="C1193" s="313" t="s">
        <v>1169</v>
      </c>
      <c r="D1193" s="322"/>
      <c r="E1193" s="328">
        <f t="shared" si="19"/>
        <v>47157.88</v>
      </c>
      <c r="F1193" s="347">
        <v>47157.88</v>
      </c>
      <c r="G1193" s="347"/>
      <c r="H1193" s="328">
        <v>0</v>
      </c>
      <c r="I1193" s="210"/>
    </row>
    <row r="1194" spans="1:9" ht="25.5">
      <c r="A1194" s="394" t="s">
        <v>1970</v>
      </c>
      <c r="B1194" s="793" t="s">
        <v>1172</v>
      </c>
      <c r="C1194" s="310" t="s">
        <v>1781</v>
      </c>
      <c r="D1194" s="321"/>
      <c r="E1194" s="352"/>
      <c r="F1194" s="352"/>
      <c r="G1194" s="352"/>
      <c r="H1194" s="352">
        <v>0</v>
      </c>
    </row>
    <row r="1195" spans="1:9" ht="24">
      <c r="A1195" s="395" t="s">
        <v>2017</v>
      </c>
      <c r="B1195" s="792">
        <v>390200300203000</v>
      </c>
      <c r="C1195" s="313" t="s">
        <v>1171</v>
      </c>
      <c r="D1195" s="322"/>
      <c r="E1195" s="328">
        <f t="shared" si="19"/>
        <v>0</v>
      </c>
      <c r="F1195" s="347"/>
      <c r="G1195" s="347"/>
      <c r="H1195" s="328">
        <v>0</v>
      </c>
      <c r="I1195" s="210"/>
    </row>
    <row r="1196" spans="1:9" ht="25.5">
      <c r="A1196" s="394" t="s">
        <v>1970</v>
      </c>
      <c r="B1196" s="793" t="s">
        <v>1174</v>
      </c>
      <c r="C1196" s="310" t="s">
        <v>1782</v>
      </c>
      <c r="D1196" s="321"/>
      <c r="E1196" s="352"/>
      <c r="F1196" s="352"/>
      <c r="G1196" s="352"/>
      <c r="H1196" s="352">
        <v>0</v>
      </c>
    </row>
    <row r="1197" spans="1:9" ht="24">
      <c r="A1197" s="395" t="s">
        <v>2017</v>
      </c>
      <c r="B1197" s="792">
        <v>390200300204000</v>
      </c>
      <c r="C1197" s="313" t="s">
        <v>1173</v>
      </c>
      <c r="D1197" s="322"/>
      <c r="E1197" s="328">
        <f t="shared" si="19"/>
        <v>0</v>
      </c>
      <c r="F1197" s="347"/>
      <c r="G1197" s="347"/>
      <c r="H1197" s="328">
        <v>0</v>
      </c>
      <c r="I1197" s="210"/>
    </row>
    <row r="1198" spans="1:9" ht="25.5">
      <c r="A1198" s="394" t="s">
        <v>1970</v>
      </c>
      <c r="B1198" s="793" t="s">
        <v>1176</v>
      </c>
      <c r="C1198" s="310" t="s">
        <v>1783</v>
      </c>
      <c r="D1198" s="321"/>
      <c r="E1198" s="352"/>
      <c r="F1198" s="352"/>
      <c r="G1198" s="352"/>
      <c r="H1198" s="352">
        <v>0</v>
      </c>
    </row>
    <row r="1199" spans="1:9" ht="24">
      <c r="A1199" s="395" t="s">
        <v>2017</v>
      </c>
      <c r="B1199" s="792">
        <v>390200300205000</v>
      </c>
      <c r="C1199" s="313" t="s">
        <v>1175</v>
      </c>
      <c r="D1199" s="322"/>
      <c r="E1199" s="328">
        <f t="shared" si="19"/>
        <v>0</v>
      </c>
      <c r="F1199" s="347"/>
      <c r="G1199" s="347"/>
      <c r="H1199" s="328">
        <v>0</v>
      </c>
      <c r="I1199" s="210"/>
    </row>
    <row r="1200" spans="1:9" ht="25.5">
      <c r="A1200" s="394" t="s">
        <v>1970</v>
      </c>
      <c r="B1200" s="793" t="s">
        <v>1178</v>
      </c>
      <c r="C1200" s="310" t="s">
        <v>1784</v>
      </c>
      <c r="D1200" s="321"/>
      <c r="E1200" s="352"/>
      <c r="F1200" s="352"/>
      <c r="G1200" s="352"/>
      <c r="H1200" s="352">
        <v>0</v>
      </c>
    </row>
    <row r="1201" spans="1:13" ht="24">
      <c r="A1201" s="395" t="s">
        <v>2017</v>
      </c>
      <c r="B1201" s="792">
        <v>390200300206000</v>
      </c>
      <c r="C1201" s="313" t="s">
        <v>1177</v>
      </c>
      <c r="D1201" s="322"/>
      <c r="E1201" s="328">
        <f t="shared" si="19"/>
        <v>3974.07</v>
      </c>
      <c r="F1201" s="347">
        <v>3974.07</v>
      </c>
      <c r="G1201" s="347"/>
      <c r="H1201" s="328">
        <v>2180.34</v>
      </c>
      <c r="I1201" s="210"/>
    </row>
    <row r="1202" spans="1:13">
      <c r="A1202" s="394" t="s">
        <v>1970</v>
      </c>
      <c r="B1202" s="793" t="s">
        <v>1180</v>
      </c>
      <c r="C1202" s="310" t="s">
        <v>1785</v>
      </c>
      <c r="D1202" s="321"/>
      <c r="E1202" s="352"/>
      <c r="F1202" s="352"/>
      <c r="G1202" s="352"/>
      <c r="H1202" s="352">
        <v>0</v>
      </c>
    </row>
    <row r="1203" spans="1:13">
      <c r="A1203" s="395" t="s">
        <v>2017</v>
      </c>
      <c r="B1203" s="792">
        <v>390200300209000</v>
      </c>
      <c r="C1203" s="313" t="s">
        <v>1179</v>
      </c>
      <c r="D1203" s="322"/>
      <c r="E1203" s="328">
        <f t="shared" si="19"/>
        <v>79057.399999999994</v>
      </c>
      <c r="F1203" s="347">
        <v>79057.399999999994</v>
      </c>
      <c r="G1203" s="347"/>
      <c r="H1203" s="328">
        <v>43973.89</v>
      </c>
      <c r="I1203" s="210"/>
    </row>
    <row r="1204" spans="1:13">
      <c r="A1204" s="394" t="s">
        <v>1967</v>
      </c>
      <c r="B1204" s="793" t="s">
        <v>1181</v>
      </c>
      <c r="C1204" s="310" t="s">
        <v>1786</v>
      </c>
      <c r="D1204" s="321"/>
      <c r="E1204" s="352"/>
      <c r="F1204" s="352"/>
      <c r="G1204" s="352"/>
      <c r="H1204" s="352">
        <v>0</v>
      </c>
    </row>
    <row r="1205" spans="1:13">
      <c r="A1205" s="394" t="s">
        <v>1969</v>
      </c>
      <c r="B1205" s="793" t="s">
        <v>1183</v>
      </c>
      <c r="C1205" s="310" t="s">
        <v>1787</v>
      </c>
      <c r="D1205" s="321"/>
      <c r="E1205" s="352"/>
      <c r="F1205" s="352"/>
      <c r="G1205" s="352"/>
      <c r="H1205" s="352">
        <v>0</v>
      </c>
    </row>
    <row r="1206" spans="1:13">
      <c r="A1206" s="395" t="s">
        <v>1970</v>
      </c>
      <c r="B1206" s="792">
        <v>390200400500000</v>
      </c>
      <c r="C1206" s="313" t="s">
        <v>1182</v>
      </c>
      <c r="D1206" s="322"/>
      <c r="E1206" s="328">
        <f t="shared" si="19"/>
        <v>0</v>
      </c>
      <c r="F1206" s="347">
        <f>178072.75-178072.75</f>
        <v>0</v>
      </c>
      <c r="G1206" s="347"/>
      <c r="H1206" s="328">
        <v>0</v>
      </c>
      <c r="I1206" s="210"/>
      <c r="M1206" s="810"/>
    </row>
    <row r="1207" spans="1:13" ht="25.5">
      <c r="A1207" s="394" t="s">
        <v>1969</v>
      </c>
      <c r="B1207" s="793" t="s">
        <v>1185</v>
      </c>
      <c r="C1207" s="310" t="s">
        <v>1788</v>
      </c>
      <c r="D1207" s="321" t="s">
        <v>1248</v>
      </c>
      <c r="E1207" s="352"/>
      <c r="F1207" s="352"/>
      <c r="G1207" s="352"/>
      <c r="H1207" s="352">
        <v>0</v>
      </c>
    </row>
    <row r="1208" spans="1:13" ht="24">
      <c r="A1208" s="395" t="s">
        <v>1970</v>
      </c>
      <c r="B1208" s="792">
        <v>390200400100000</v>
      </c>
      <c r="C1208" s="313" t="s">
        <v>1184</v>
      </c>
      <c r="D1208" s="322" t="s">
        <v>1248</v>
      </c>
      <c r="E1208" s="328">
        <f t="shared" si="19"/>
        <v>0</v>
      </c>
      <c r="F1208" s="347"/>
      <c r="G1208" s="347"/>
      <c r="H1208" s="328">
        <v>130.63999999999999</v>
      </c>
      <c r="I1208" s="210"/>
    </row>
    <row r="1209" spans="1:13">
      <c r="A1209" s="394" t="s">
        <v>1969</v>
      </c>
      <c r="B1209" s="793" t="s">
        <v>1186</v>
      </c>
      <c r="C1209" s="310" t="s">
        <v>1789</v>
      </c>
      <c r="D1209" s="321"/>
      <c r="E1209" s="352"/>
      <c r="F1209" s="352"/>
      <c r="G1209" s="352"/>
      <c r="H1209" s="352">
        <v>0</v>
      </c>
    </row>
    <row r="1210" spans="1:13" ht="25.5">
      <c r="A1210" s="394" t="s">
        <v>1970</v>
      </c>
      <c r="B1210" s="793" t="s">
        <v>1188</v>
      </c>
      <c r="C1210" s="310" t="s">
        <v>1790</v>
      </c>
      <c r="D1210" s="321"/>
      <c r="E1210" s="352"/>
      <c r="F1210" s="352"/>
      <c r="G1210" s="352"/>
      <c r="H1210" s="352">
        <v>0</v>
      </c>
    </row>
    <row r="1211" spans="1:13" ht="24">
      <c r="A1211" s="395" t="s">
        <v>2017</v>
      </c>
      <c r="B1211" s="792">
        <v>390200400201000</v>
      </c>
      <c r="C1211" s="313" t="s">
        <v>1187</v>
      </c>
      <c r="D1211" s="322"/>
      <c r="E1211" s="328">
        <f t="shared" ref="E1211:E1242" si="20">+F1211+G1211</f>
        <v>0</v>
      </c>
      <c r="F1211" s="347"/>
      <c r="G1211" s="347"/>
      <c r="H1211" s="328">
        <v>0</v>
      </c>
      <c r="I1211" s="210"/>
    </row>
    <row r="1212" spans="1:13" ht="25.5">
      <c r="A1212" s="394" t="s">
        <v>1970</v>
      </c>
      <c r="B1212" s="793" t="s">
        <v>1190</v>
      </c>
      <c r="C1212" s="310" t="s">
        <v>1791</v>
      </c>
      <c r="D1212" s="321"/>
      <c r="E1212" s="352"/>
      <c r="F1212" s="352"/>
      <c r="G1212" s="352"/>
      <c r="H1212" s="352">
        <v>0</v>
      </c>
    </row>
    <row r="1213" spans="1:13">
      <c r="A1213" s="395" t="s">
        <v>2017</v>
      </c>
      <c r="B1213" s="792">
        <v>390200400202000</v>
      </c>
      <c r="C1213" s="313" t="s">
        <v>1189</v>
      </c>
      <c r="D1213" s="322"/>
      <c r="E1213" s="328">
        <f t="shared" si="20"/>
        <v>0</v>
      </c>
      <c r="F1213" s="347"/>
      <c r="G1213" s="347"/>
      <c r="H1213" s="328">
        <v>0</v>
      </c>
      <c r="I1213" s="210"/>
    </row>
    <row r="1214" spans="1:13" ht="25.5">
      <c r="A1214" s="394" t="s">
        <v>1970</v>
      </c>
      <c r="B1214" s="793" t="s">
        <v>1192</v>
      </c>
      <c r="C1214" s="310" t="s">
        <v>1792</v>
      </c>
      <c r="D1214" s="321"/>
      <c r="E1214" s="352"/>
      <c r="F1214" s="352"/>
      <c r="G1214" s="352"/>
      <c r="H1214" s="352">
        <v>0</v>
      </c>
    </row>
    <row r="1215" spans="1:13" ht="24">
      <c r="A1215" s="395" t="s">
        <v>2017</v>
      </c>
      <c r="B1215" s="792">
        <v>390200400203000</v>
      </c>
      <c r="C1215" s="313" t="s">
        <v>1191</v>
      </c>
      <c r="D1215" s="322"/>
      <c r="E1215" s="328">
        <f t="shared" si="20"/>
        <v>0</v>
      </c>
      <c r="F1215" s="347"/>
      <c r="G1215" s="347"/>
      <c r="H1215" s="328">
        <v>0</v>
      </c>
      <c r="I1215" s="210"/>
    </row>
    <row r="1216" spans="1:13" ht="25.5">
      <c r="A1216" s="394" t="s">
        <v>1970</v>
      </c>
      <c r="B1216" s="793" t="s">
        <v>1194</v>
      </c>
      <c r="C1216" s="310" t="s">
        <v>1793</v>
      </c>
      <c r="D1216" s="321"/>
      <c r="E1216" s="352"/>
      <c r="F1216" s="352"/>
      <c r="G1216" s="352"/>
      <c r="H1216" s="352">
        <v>0</v>
      </c>
    </row>
    <row r="1217" spans="1:13" ht="24">
      <c r="A1217" s="395" t="s">
        <v>2017</v>
      </c>
      <c r="B1217" s="792">
        <v>390200400204000</v>
      </c>
      <c r="C1217" s="313" t="s">
        <v>1193</v>
      </c>
      <c r="D1217" s="322"/>
      <c r="E1217" s="328">
        <f t="shared" si="20"/>
        <v>0</v>
      </c>
      <c r="F1217" s="347"/>
      <c r="G1217" s="347"/>
      <c r="H1217" s="328">
        <v>0</v>
      </c>
      <c r="I1217" s="210"/>
    </row>
    <row r="1218" spans="1:13" ht="25.5">
      <c r="A1218" s="394" t="s">
        <v>1970</v>
      </c>
      <c r="B1218" s="793" t="s">
        <v>1196</v>
      </c>
      <c r="C1218" s="310" t="s">
        <v>1794</v>
      </c>
      <c r="D1218" s="321"/>
      <c r="E1218" s="352"/>
      <c r="F1218" s="352"/>
      <c r="G1218" s="352"/>
      <c r="H1218" s="352">
        <v>0</v>
      </c>
    </row>
    <row r="1219" spans="1:13" ht="24">
      <c r="A1219" s="395" t="s">
        <v>2017</v>
      </c>
      <c r="B1219" s="792">
        <v>390200400205000</v>
      </c>
      <c r="C1219" s="313" t="s">
        <v>1195</v>
      </c>
      <c r="D1219" s="322"/>
      <c r="E1219" s="328">
        <f t="shared" si="20"/>
        <v>0</v>
      </c>
      <c r="F1219" s="347"/>
      <c r="G1219" s="347"/>
      <c r="H1219" s="328">
        <v>0</v>
      </c>
      <c r="I1219" s="210"/>
    </row>
    <row r="1220" spans="1:13" ht="25.5">
      <c r="A1220" s="394" t="s">
        <v>1970</v>
      </c>
      <c r="B1220" s="793" t="s">
        <v>1198</v>
      </c>
      <c r="C1220" s="310" t="s">
        <v>1795</v>
      </c>
      <c r="D1220" s="321"/>
      <c r="E1220" s="352"/>
      <c r="F1220" s="352"/>
      <c r="G1220" s="352"/>
      <c r="H1220" s="352">
        <v>0</v>
      </c>
    </row>
    <row r="1221" spans="1:13" ht="24">
      <c r="A1221" s="395" t="s">
        <v>2017</v>
      </c>
      <c r="B1221" s="792">
        <v>390200400206000</v>
      </c>
      <c r="C1221" s="313" t="s">
        <v>1197</v>
      </c>
      <c r="D1221" s="322"/>
      <c r="E1221" s="328">
        <f t="shared" si="20"/>
        <v>683.68</v>
      </c>
      <c r="F1221" s="347">
        <v>683.68</v>
      </c>
      <c r="G1221" s="347"/>
      <c r="H1221" s="328">
        <v>0</v>
      </c>
      <c r="I1221" s="210"/>
    </row>
    <row r="1222" spans="1:13">
      <c r="A1222" s="394" t="s">
        <v>1970</v>
      </c>
      <c r="B1222" s="793" t="s">
        <v>1200</v>
      </c>
      <c r="C1222" s="310" t="s">
        <v>1796</v>
      </c>
      <c r="D1222" s="321"/>
      <c r="E1222" s="352"/>
      <c r="F1222" s="352"/>
      <c r="G1222" s="352"/>
      <c r="H1222" s="352">
        <v>0</v>
      </c>
    </row>
    <row r="1223" spans="1:13">
      <c r="A1223" s="395" t="s">
        <v>2017</v>
      </c>
      <c r="B1223" s="792">
        <v>390200400207000</v>
      </c>
      <c r="C1223" s="313" t="s">
        <v>1199</v>
      </c>
      <c r="D1223" s="322"/>
      <c r="E1223" s="328">
        <f t="shared" si="20"/>
        <v>178820.59</v>
      </c>
      <c r="F1223" s="347">
        <f>747.84+66932.73+111063.62+76.4</f>
        <v>178820.59</v>
      </c>
      <c r="G1223" s="347"/>
      <c r="H1223" s="328">
        <v>11655.51</v>
      </c>
      <c r="I1223" s="210"/>
      <c r="M1223" s="810"/>
    </row>
    <row r="1224" spans="1:13">
      <c r="A1224" s="394" t="s">
        <v>1967</v>
      </c>
      <c r="B1224" s="793" t="s">
        <v>1201</v>
      </c>
      <c r="C1224" s="310" t="s">
        <v>1797</v>
      </c>
      <c r="D1224" s="321"/>
      <c r="E1224" s="352"/>
      <c r="F1224" s="352"/>
      <c r="G1224" s="352"/>
      <c r="H1224" s="352">
        <v>0</v>
      </c>
    </row>
    <row r="1225" spans="1:13">
      <c r="A1225" s="395" t="s">
        <v>1969</v>
      </c>
      <c r="B1225" s="792">
        <v>390200500000000</v>
      </c>
      <c r="C1225" s="313" t="s">
        <v>1149</v>
      </c>
      <c r="D1225" s="322"/>
      <c r="E1225" s="328">
        <f t="shared" si="20"/>
        <v>59.13</v>
      </c>
      <c r="F1225" s="347">
        <v>59.13</v>
      </c>
      <c r="G1225" s="347"/>
      <c r="H1225" s="328">
        <v>9361.89</v>
      </c>
      <c r="I1225" s="210"/>
    </row>
    <row r="1226" spans="1:13">
      <c r="A1226" s="394" t="s">
        <v>1960</v>
      </c>
      <c r="B1226" s="793" t="s">
        <v>2592</v>
      </c>
      <c r="C1226" s="310" t="s">
        <v>2593</v>
      </c>
      <c r="D1226" s="321"/>
      <c r="E1226" s="352"/>
      <c r="F1226" s="352"/>
      <c r="G1226" s="352"/>
      <c r="H1226" s="352">
        <v>0</v>
      </c>
    </row>
    <row r="1227" spans="1:13">
      <c r="A1227" s="394" t="s">
        <v>1963</v>
      </c>
      <c r="B1227" s="793" t="s">
        <v>1202</v>
      </c>
      <c r="C1227" s="310" t="s">
        <v>1803</v>
      </c>
      <c r="D1227" s="321"/>
      <c r="E1227" s="352"/>
      <c r="F1227" s="352"/>
      <c r="G1227" s="352"/>
      <c r="H1227" s="352">
        <v>0</v>
      </c>
    </row>
    <row r="1228" spans="1:13">
      <c r="A1228" s="394" t="s">
        <v>1965</v>
      </c>
      <c r="B1228" s="793" t="s">
        <v>1204</v>
      </c>
      <c r="C1228" s="310" t="s">
        <v>1804</v>
      </c>
      <c r="D1228" s="321"/>
      <c r="E1228" s="352"/>
      <c r="F1228" s="352"/>
      <c r="G1228" s="352"/>
      <c r="H1228" s="352">
        <v>0</v>
      </c>
    </row>
    <row r="1229" spans="1:13">
      <c r="A1229" s="395" t="s">
        <v>1967</v>
      </c>
      <c r="B1229" s="792">
        <v>400100000000000</v>
      </c>
      <c r="C1229" s="313" t="s">
        <v>1203</v>
      </c>
      <c r="D1229" s="322"/>
      <c r="E1229" s="328">
        <f t="shared" si="20"/>
        <v>826376.67</v>
      </c>
      <c r="F1229" s="347">
        <v>826376.67</v>
      </c>
      <c r="G1229" s="347"/>
      <c r="H1229" s="328">
        <v>710792.57</v>
      </c>
      <c r="I1229" s="210"/>
    </row>
    <row r="1230" spans="1:13" ht="25.5">
      <c r="A1230" s="394" t="s">
        <v>1965</v>
      </c>
      <c r="B1230" s="793" t="s">
        <v>1206</v>
      </c>
      <c r="C1230" s="310" t="s">
        <v>1805</v>
      </c>
      <c r="D1230" s="321"/>
      <c r="E1230" s="352"/>
      <c r="F1230" s="352"/>
      <c r="G1230" s="352"/>
      <c r="H1230" s="352">
        <v>0</v>
      </c>
    </row>
    <row r="1231" spans="1:13" ht="24">
      <c r="A1231" s="395" t="s">
        <v>1967</v>
      </c>
      <c r="B1231" s="792">
        <v>400200000000000</v>
      </c>
      <c r="C1231" s="313" t="s">
        <v>1205</v>
      </c>
      <c r="D1231" s="322"/>
      <c r="E1231" s="328">
        <f t="shared" si="20"/>
        <v>182122.06</v>
      </c>
      <c r="F1231" s="347">
        <v>182122.06</v>
      </c>
      <c r="G1231" s="347"/>
      <c r="H1231" s="328">
        <v>234200.67</v>
      </c>
      <c r="I1231" s="210"/>
    </row>
    <row r="1232" spans="1:13" ht="25.5">
      <c r="A1232" s="394" t="s">
        <v>1965</v>
      </c>
      <c r="B1232" s="793" t="s">
        <v>1208</v>
      </c>
      <c r="C1232" s="310" t="s">
        <v>1806</v>
      </c>
      <c r="D1232" s="321"/>
      <c r="E1232" s="352"/>
      <c r="F1232" s="352"/>
      <c r="G1232" s="352"/>
      <c r="H1232" s="352">
        <v>0</v>
      </c>
    </row>
    <row r="1233" spans="1:9">
      <c r="A1233" s="395" t="s">
        <v>1967</v>
      </c>
      <c r="B1233" s="792">
        <v>400300000000000</v>
      </c>
      <c r="C1233" s="313" t="s">
        <v>1207</v>
      </c>
      <c r="D1233" s="322"/>
      <c r="E1233" s="328">
        <f t="shared" si="20"/>
        <v>0</v>
      </c>
      <c r="F1233" s="347"/>
      <c r="G1233" s="347"/>
      <c r="H1233" s="328">
        <v>0</v>
      </c>
      <c r="I1233" s="210"/>
    </row>
    <row r="1234" spans="1:9">
      <c r="A1234" s="394" t="s">
        <v>1965</v>
      </c>
      <c r="B1234" s="793" t="s">
        <v>1210</v>
      </c>
      <c r="C1234" s="310" t="s">
        <v>1807</v>
      </c>
      <c r="D1234" s="321"/>
      <c r="E1234" s="352"/>
      <c r="F1234" s="352"/>
      <c r="G1234" s="352"/>
      <c r="H1234" s="352">
        <v>0</v>
      </c>
    </row>
    <row r="1235" spans="1:9">
      <c r="A1235" s="395" t="s">
        <v>1967</v>
      </c>
      <c r="B1235" s="792">
        <v>400400000000000</v>
      </c>
      <c r="C1235" s="313" t="s">
        <v>1209</v>
      </c>
      <c r="D1235" s="322"/>
      <c r="E1235" s="328">
        <f t="shared" si="20"/>
        <v>0</v>
      </c>
      <c r="F1235" s="347"/>
      <c r="G1235" s="347"/>
      <c r="H1235" s="328">
        <v>0</v>
      </c>
      <c r="I1235" s="210"/>
    </row>
    <row r="1236" spans="1:9">
      <c r="A1236" s="394" t="s">
        <v>1963</v>
      </c>
      <c r="B1236" s="793" t="s">
        <v>1211</v>
      </c>
      <c r="C1236" s="310" t="s">
        <v>1808</v>
      </c>
      <c r="D1236" s="321"/>
      <c r="E1236" s="352"/>
      <c r="F1236" s="352"/>
      <c r="G1236" s="352"/>
      <c r="H1236" s="352">
        <v>0</v>
      </c>
    </row>
    <row r="1237" spans="1:9">
      <c r="A1237" s="394" t="s">
        <v>1965</v>
      </c>
      <c r="B1237" s="793" t="s">
        <v>1213</v>
      </c>
      <c r="C1237" s="310" t="s">
        <v>1809</v>
      </c>
      <c r="D1237" s="321"/>
      <c r="E1237" s="352"/>
      <c r="F1237" s="352"/>
      <c r="G1237" s="352"/>
      <c r="H1237" s="352">
        <v>0</v>
      </c>
    </row>
    <row r="1238" spans="1:9">
      <c r="A1238" s="395" t="s">
        <v>1967</v>
      </c>
      <c r="B1238" s="792">
        <v>405100000000000</v>
      </c>
      <c r="C1238" s="313" t="s">
        <v>1212</v>
      </c>
      <c r="D1238" s="322"/>
      <c r="E1238" s="328">
        <f t="shared" si="20"/>
        <v>0</v>
      </c>
      <c r="F1238" s="347"/>
      <c r="G1238" s="347"/>
      <c r="H1238" s="328">
        <v>0</v>
      </c>
      <c r="I1238" s="210"/>
    </row>
    <row r="1239" spans="1:9">
      <c r="A1239" s="394" t="s">
        <v>1965</v>
      </c>
      <c r="B1239" s="793" t="s">
        <v>1215</v>
      </c>
      <c r="C1239" s="310" t="s">
        <v>1810</v>
      </c>
      <c r="D1239" s="321"/>
      <c r="E1239" s="352"/>
      <c r="F1239" s="352"/>
      <c r="G1239" s="352"/>
      <c r="H1239" s="352">
        <v>0</v>
      </c>
    </row>
    <row r="1240" spans="1:9">
      <c r="A1240" s="395" t="s">
        <v>1967</v>
      </c>
      <c r="B1240" s="792">
        <v>405200000000000</v>
      </c>
      <c r="C1240" s="313" t="s">
        <v>1214</v>
      </c>
      <c r="D1240" s="322"/>
      <c r="E1240" s="328">
        <f t="shared" si="20"/>
        <v>166456.93</v>
      </c>
      <c r="F1240" s="347">
        <v>166456.93</v>
      </c>
      <c r="G1240" s="347"/>
      <c r="H1240" s="328">
        <v>166456.83359999271</v>
      </c>
      <c r="I1240" s="210"/>
    </row>
    <row r="1241" spans="1:9" ht="25.5">
      <c r="A1241" s="394" t="s">
        <v>1963</v>
      </c>
      <c r="B1241" s="793" t="s">
        <v>1217</v>
      </c>
      <c r="C1241" s="310" t="s">
        <v>1811</v>
      </c>
      <c r="D1241" s="321"/>
      <c r="E1241" s="352"/>
      <c r="F1241" s="352"/>
      <c r="G1241" s="352"/>
      <c r="H1241" s="352">
        <v>0</v>
      </c>
    </row>
    <row r="1242" spans="1:9" ht="24.75" thickBot="1">
      <c r="A1242" s="398" t="s">
        <v>1965</v>
      </c>
      <c r="B1242" s="796">
        <v>410000000000000</v>
      </c>
      <c r="C1242" s="378" t="s">
        <v>1216</v>
      </c>
      <c r="D1242" s="399"/>
      <c r="E1242" s="400">
        <f t="shared" si="20"/>
        <v>0</v>
      </c>
      <c r="F1242" s="401"/>
      <c r="G1242" s="401"/>
      <c r="H1242" s="400">
        <v>0</v>
      </c>
      <c r="I1242" s="210"/>
    </row>
    <row r="1243" spans="1:9" s="331" customFormat="1" ht="13.5" thickBot="1">
      <c r="A1243" s="402"/>
      <c r="B1243" s="403"/>
      <c r="C1243" s="404" t="s">
        <v>2594</v>
      </c>
      <c r="D1243" s="405"/>
      <c r="E1243" s="406">
        <f t="shared" ref="E1243:H1243" si="21">SUM(E7:E1242)</f>
        <v>580630050.45000005</v>
      </c>
      <c r="F1243" s="406">
        <f t="shared" si="21"/>
        <v>580630050.45000005</v>
      </c>
      <c r="G1243" s="406">
        <f t="shared" si="21"/>
        <v>0</v>
      </c>
      <c r="H1243" s="406">
        <f t="shared" si="21"/>
        <v>510381872.98360014</v>
      </c>
    </row>
  </sheetData>
  <autoFilter ref="A1:I1243"/>
  <conditionalFormatting sqref="B604">
    <cfRule type="duplicateValues" dxfId="224" priority="1"/>
  </conditionalFormatting>
  <conditionalFormatting sqref="B668">
    <cfRule type="duplicateValues" dxfId="223" priority="42"/>
  </conditionalFormatting>
  <conditionalFormatting sqref="B669:B670">
    <cfRule type="duplicateValues" dxfId="222" priority="40"/>
  </conditionalFormatting>
  <conditionalFormatting sqref="B672:B674">
    <cfRule type="duplicateValues" dxfId="221" priority="41"/>
  </conditionalFormatting>
  <conditionalFormatting sqref="B675:B678 B689:B692 B666 B680">
    <cfRule type="duplicateValues" dxfId="220" priority="46"/>
  </conditionalFormatting>
  <conditionalFormatting sqref="B682">
    <cfRule type="duplicateValues" dxfId="219" priority="45"/>
  </conditionalFormatting>
  <conditionalFormatting sqref="B683:B684">
    <cfRule type="duplicateValues" dxfId="218" priority="43"/>
  </conditionalFormatting>
  <conditionalFormatting sqref="B686:B688">
    <cfRule type="duplicateValues" dxfId="217" priority="44"/>
  </conditionalFormatting>
  <conditionalFormatting sqref="B689:B692 B666 B675:B678 B680">
    <cfRule type="duplicateValues" dxfId="216" priority="47"/>
  </conditionalFormatting>
  <conditionalFormatting sqref="B697:B699">
    <cfRule type="duplicateValues" dxfId="215" priority="224"/>
  </conditionalFormatting>
  <conditionalFormatting sqref="B701:B703">
    <cfRule type="duplicateValues" dxfId="214" priority="225"/>
  </conditionalFormatting>
  <conditionalFormatting sqref="B704:B707 B718:B721 B732:B735 B709 B723">
    <cfRule type="duplicateValues" dxfId="213" priority="232"/>
  </conditionalFormatting>
  <conditionalFormatting sqref="B711">
    <cfRule type="duplicateValues" dxfId="212" priority="228"/>
  </conditionalFormatting>
  <conditionalFormatting sqref="B712:B713">
    <cfRule type="duplicateValues" dxfId="211" priority="226"/>
  </conditionalFormatting>
  <conditionalFormatting sqref="B715:B717">
    <cfRule type="duplicateValues" dxfId="210" priority="227"/>
  </conditionalFormatting>
  <conditionalFormatting sqref="B725">
    <cfRule type="duplicateValues" dxfId="209" priority="231"/>
  </conditionalFormatting>
  <conditionalFormatting sqref="B726:B727">
    <cfRule type="duplicateValues" dxfId="208" priority="229"/>
  </conditionalFormatting>
  <conditionalFormatting sqref="B729:B731">
    <cfRule type="duplicateValues" dxfId="207" priority="230"/>
  </conditionalFormatting>
  <conditionalFormatting sqref="B732:B735 B709 B718:B721 B723">
    <cfRule type="duplicateValues" dxfId="206" priority="233"/>
  </conditionalFormatting>
  <conditionalFormatting sqref="B764">
    <cfRule type="duplicateValues" dxfId="205" priority="189"/>
  </conditionalFormatting>
  <conditionalFormatting sqref="B765:B766">
    <cfRule type="duplicateValues" dxfId="204" priority="187"/>
  </conditionalFormatting>
  <conditionalFormatting sqref="B768:B770">
    <cfRule type="duplicateValues" dxfId="203" priority="188"/>
  </conditionalFormatting>
  <conditionalFormatting sqref="B771:B774">
    <cfRule type="duplicateValues" dxfId="202" priority="186"/>
  </conditionalFormatting>
  <conditionalFormatting sqref="B778">
    <cfRule type="duplicateValues" dxfId="201" priority="176"/>
  </conditionalFormatting>
  <conditionalFormatting sqref="B779:B780">
    <cfRule type="duplicateValues" dxfId="200" priority="174"/>
  </conditionalFormatting>
  <conditionalFormatting sqref="B782:B784">
    <cfRule type="duplicateValues" dxfId="199" priority="175"/>
  </conditionalFormatting>
  <conditionalFormatting sqref="B785:B788">
    <cfRule type="duplicateValues" dxfId="198" priority="173"/>
  </conditionalFormatting>
  <conditionalFormatting sqref="B794">
    <cfRule type="duplicateValues" dxfId="197" priority="11"/>
  </conditionalFormatting>
  <conditionalFormatting sqref="B803">
    <cfRule type="duplicateValues" dxfId="196" priority="8"/>
  </conditionalFormatting>
  <conditionalFormatting sqref="B804:B811">
    <cfRule type="duplicateValues" dxfId="195" priority="10"/>
  </conditionalFormatting>
  <conditionalFormatting sqref="B813">
    <cfRule type="duplicateValues" dxfId="194" priority="6"/>
  </conditionalFormatting>
  <conditionalFormatting sqref="B822">
    <cfRule type="duplicateValues" dxfId="193" priority="2"/>
  </conditionalFormatting>
  <conditionalFormatting sqref="B823:B830">
    <cfRule type="duplicateValues" dxfId="192" priority="4"/>
  </conditionalFormatting>
  <conditionalFormatting sqref="B836">
    <cfRule type="duplicateValues" dxfId="191" priority="140"/>
  </conditionalFormatting>
  <conditionalFormatting sqref="B838">
    <cfRule type="duplicateValues" dxfId="190" priority="138"/>
  </conditionalFormatting>
  <conditionalFormatting sqref="B839">
    <cfRule type="duplicateValues" dxfId="189" priority="158"/>
  </conditionalFormatting>
  <conditionalFormatting sqref="B840:B841">
    <cfRule type="duplicateValues" dxfId="188" priority="156"/>
  </conditionalFormatting>
  <conditionalFormatting sqref="B842">
    <cfRule type="duplicateValues" dxfId="187" priority="136"/>
  </conditionalFormatting>
  <conditionalFormatting sqref="B843:B845">
    <cfRule type="duplicateValues" dxfId="186" priority="157"/>
  </conditionalFormatting>
  <conditionalFormatting sqref="B846:B849">
    <cfRule type="duplicateValues" dxfId="185" priority="155"/>
  </conditionalFormatting>
  <conditionalFormatting sqref="B850">
    <cfRule type="duplicateValues" dxfId="184" priority="134"/>
  </conditionalFormatting>
  <conditionalFormatting sqref="B852">
    <cfRule type="duplicateValues" dxfId="183" priority="132"/>
  </conditionalFormatting>
  <conditionalFormatting sqref="B853">
    <cfRule type="duplicateValues" dxfId="182" priority="161"/>
  </conditionalFormatting>
  <conditionalFormatting sqref="B854:B855">
    <cfRule type="duplicateValues" dxfId="181" priority="159"/>
  </conditionalFormatting>
  <conditionalFormatting sqref="B856">
    <cfRule type="duplicateValues" dxfId="180" priority="130"/>
  </conditionalFormatting>
  <conditionalFormatting sqref="B857:B859">
    <cfRule type="duplicateValues" dxfId="179" priority="160"/>
  </conditionalFormatting>
  <conditionalFormatting sqref="B860:B863 B851">
    <cfRule type="duplicateValues" dxfId="178" priority="162"/>
  </conditionalFormatting>
  <conditionalFormatting sqref="B865">
    <cfRule type="duplicateValues" dxfId="177" priority="128"/>
  </conditionalFormatting>
  <conditionalFormatting sqref="B867">
    <cfRule type="duplicateValues" dxfId="176" priority="104"/>
  </conditionalFormatting>
  <conditionalFormatting sqref="B868">
    <cfRule type="duplicateValues" dxfId="175" priority="122"/>
  </conditionalFormatting>
  <conditionalFormatting sqref="B869:B870">
    <cfRule type="duplicateValues" dxfId="174" priority="120"/>
  </conditionalFormatting>
  <conditionalFormatting sqref="B871">
    <cfRule type="duplicateValues" dxfId="173" priority="102"/>
  </conditionalFormatting>
  <conditionalFormatting sqref="B872:B874">
    <cfRule type="duplicateValues" dxfId="172" priority="121"/>
  </conditionalFormatting>
  <conditionalFormatting sqref="B875:B878">
    <cfRule type="duplicateValues" dxfId="171" priority="119"/>
  </conditionalFormatting>
  <conditionalFormatting sqref="B879">
    <cfRule type="duplicateValues" dxfId="170" priority="100"/>
  </conditionalFormatting>
  <conditionalFormatting sqref="B881">
    <cfRule type="duplicateValues" dxfId="169" priority="98"/>
  </conditionalFormatting>
  <conditionalFormatting sqref="B882">
    <cfRule type="duplicateValues" dxfId="168" priority="125"/>
  </conditionalFormatting>
  <conditionalFormatting sqref="B883:B884">
    <cfRule type="duplicateValues" dxfId="167" priority="123"/>
  </conditionalFormatting>
  <conditionalFormatting sqref="B885">
    <cfRule type="duplicateValues" dxfId="166" priority="96"/>
  </conditionalFormatting>
  <conditionalFormatting sqref="B886:B888">
    <cfRule type="duplicateValues" dxfId="165" priority="124"/>
  </conditionalFormatting>
  <conditionalFormatting sqref="B889:B892 B880">
    <cfRule type="duplicateValues" dxfId="164" priority="126"/>
  </conditionalFormatting>
  <conditionalFormatting sqref="B900:B906">
    <cfRule type="duplicateValues" dxfId="163" priority="94"/>
  </conditionalFormatting>
  <conditionalFormatting sqref="B909:B915">
    <cfRule type="duplicateValues" dxfId="162" priority="92"/>
  </conditionalFormatting>
  <conditionalFormatting sqref="B921">
    <cfRule type="duplicateValues" dxfId="161" priority="79"/>
  </conditionalFormatting>
  <conditionalFormatting sqref="B922">
    <cfRule type="duplicateValues" dxfId="160" priority="90"/>
  </conditionalFormatting>
  <conditionalFormatting sqref="B923:B924">
    <cfRule type="duplicateValues" dxfId="159" priority="88"/>
  </conditionalFormatting>
  <conditionalFormatting sqref="B925">
    <cfRule type="duplicateValues" dxfId="158" priority="77"/>
  </conditionalFormatting>
  <conditionalFormatting sqref="B926:B928">
    <cfRule type="duplicateValues" dxfId="157" priority="89"/>
  </conditionalFormatting>
  <conditionalFormatting sqref="B929:B932">
    <cfRule type="duplicateValues" dxfId="156" priority="87"/>
  </conditionalFormatting>
  <conditionalFormatting sqref="B935">
    <cfRule type="duplicateValues" dxfId="155" priority="64"/>
  </conditionalFormatting>
  <conditionalFormatting sqref="B936">
    <cfRule type="duplicateValues" dxfId="154" priority="75"/>
  </conditionalFormatting>
  <conditionalFormatting sqref="B937:B938">
    <cfRule type="duplicateValues" dxfId="153" priority="73"/>
  </conditionalFormatting>
  <conditionalFormatting sqref="B939">
    <cfRule type="duplicateValues" dxfId="152" priority="62"/>
  </conditionalFormatting>
  <conditionalFormatting sqref="B940:B942">
    <cfRule type="duplicateValues" dxfId="151" priority="74"/>
  </conditionalFormatting>
  <conditionalFormatting sqref="B943:B946">
    <cfRule type="duplicateValues" dxfId="150" priority="72"/>
  </conditionalFormatting>
  <conditionalFormatting sqref="B1152">
    <cfRule type="duplicateValues" dxfId="149" priority="53"/>
  </conditionalFormatting>
  <conditionalFormatting sqref="B1166">
    <cfRule type="duplicateValues" dxfId="148" priority="51"/>
  </conditionalFormatting>
  <conditionalFormatting sqref="B1170:B1242 B2:B603 B1153:B1165 B1244:B1048576 B693:B793 B795:B802 B812 B814:B821 B831:B1151 B605:B650">
    <cfRule type="duplicateValues" dxfId="147" priority="55"/>
  </conditionalFormatting>
  <conditionalFormatting sqref="B1243">
    <cfRule type="duplicateValues" dxfId="146" priority="49"/>
  </conditionalFormatting>
  <conditionalFormatting sqref="C668">
    <cfRule type="duplicateValues" dxfId="145" priority="357"/>
  </conditionalFormatting>
  <conditionalFormatting sqref="C669">
    <cfRule type="duplicateValues" dxfId="144" priority="352"/>
  </conditionalFormatting>
  <conditionalFormatting sqref="C670">
    <cfRule type="duplicateValues" dxfId="143" priority="353"/>
  </conditionalFormatting>
  <conditionalFormatting sqref="C672">
    <cfRule type="duplicateValues" dxfId="142" priority="354"/>
  </conditionalFormatting>
  <conditionalFormatting sqref="C673">
    <cfRule type="duplicateValues" dxfId="141" priority="355"/>
  </conditionalFormatting>
  <conditionalFormatting sqref="C674">
    <cfRule type="duplicateValues" dxfId="140" priority="356"/>
  </conditionalFormatting>
  <conditionalFormatting sqref="C675:C678 C666">
    <cfRule type="duplicateValues" dxfId="139" priority="358"/>
  </conditionalFormatting>
  <conditionalFormatting sqref="C682">
    <cfRule type="duplicateValues" dxfId="138" priority="365"/>
  </conditionalFormatting>
  <conditionalFormatting sqref="C683">
    <cfRule type="duplicateValues" dxfId="137" priority="360"/>
  </conditionalFormatting>
  <conditionalFormatting sqref="C684">
    <cfRule type="duplicateValues" dxfId="136" priority="361"/>
  </conditionalFormatting>
  <conditionalFormatting sqref="C686">
    <cfRule type="duplicateValues" dxfId="135" priority="362"/>
  </conditionalFormatting>
  <conditionalFormatting sqref="C687">
    <cfRule type="duplicateValues" dxfId="134" priority="363"/>
  </conditionalFormatting>
  <conditionalFormatting sqref="C688">
    <cfRule type="duplicateValues" dxfId="133" priority="364"/>
  </conditionalFormatting>
  <conditionalFormatting sqref="C689:C692 C666 C675:C678 C680">
    <cfRule type="duplicateValues" dxfId="132" priority="368"/>
  </conditionalFormatting>
  <conditionalFormatting sqref="C689:C692 C680">
    <cfRule type="duplicateValues" dxfId="131" priority="366"/>
  </conditionalFormatting>
  <conditionalFormatting sqref="C696">
    <cfRule type="duplicateValues" dxfId="130" priority="235"/>
  </conditionalFormatting>
  <conditionalFormatting sqref="C697">
    <cfRule type="duplicateValues" dxfId="129" priority="236"/>
  </conditionalFormatting>
  <conditionalFormatting sqref="C698">
    <cfRule type="duplicateValues" dxfId="128" priority="237"/>
  </conditionalFormatting>
  <conditionalFormatting sqref="C699">
    <cfRule type="duplicateValues" dxfId="127" priority="238"/>
  </conditionalFormatting>
  <conditionalFormatting sqref="C700">
    <cfRule type="duplicateValues" dxfId="126" priority="263"/>
  </conditionalFormatting>
  <conditionalFormatting sqref="C701">
    <cfRule type="duplicateValues" dxfId="125" priority="239"/>
  </conditionalFormatting>
  <conditionalFormatting sqref="C702">
    <cfRule type="duplicateValues" dxfId="124" priority="240"/>
  </conditionalFormatting>
  <conditionalFormatting sqref="C703">
    <cfRule type="duplicateValues" dxfId="123" priority="241"/>
  </conditionalFormatting>
  <conditionalFormatting sqref="C704:C707">
    <cfRule type="duplicateValues" dxfId="122" priority="234"/>
  </conditionalFormatting>
  <conditionalFormatting sqref="C708">
    <cfRule type="duplicateValues" dxfId="121" priority="264"/>
  </conditionalFormatting>
  <conditionalFormatting sqref="C710">
    <cfRule type="duplicateValues" dxfId="120" priority="242"/>
  </conditionalFormatting>
  <conditionalFormatting sqref="C711">
    <cfRule type="duplicateValues" dxfId="119" priority="248"/>
  </conditionalFormatting>
  <conditionalFormatting sqref="C712">
    <cfRule type="duplicateValues" dxfId="118" priority="243"/>
  </conditionalFormatting>
  <conditionalFormatting sqref="C713">
    <cfRule type="duplicateValues" dxfId="117" priority="244"/>
  </conditionalFormatting>
  <conditionalFormatting sqref="C714">
    <cfRule type="duplicateValues" dxfId="116" priority="265"/>
  </conditionalFormatting>
  <conditionalFormatting sqref="C715">
    <cfRule type="duplicateValues" dxfId="115" priority="245"/>
  </conditionalFormatting>
  <conditionalFormatting sqref="C716">
    <cfRule type="duplicateValues" dxfId="114" priority="246"/>
  </conditionalFormatting>
  <conditionalFormatting sqref="C717">
    <cfRule type="duplicateValues" dxfId="113" priority="247"/>
  </conditionalFormatting>
  <conditionalFormatting sqref="C718:C721 C709">
    <cfRule type="duplicateValues" dxfId="112" priority="249"/>
  </conditionalFormatting>
  <conditionalFormatting sqref="C722">
    <cfRule type="duplicateValues" dxfId="111" priority="266"/>
  </conditionalFormatting>
  <conditionalFormatting sqref="C724">
    <cfRule type="duplicateValues" dxfId="110" priority="267"/>
  </conditionalFormatting>
  <conditionalFormatting sqref="C725">
    <cfRule type="duplicateValues" dxfId="109" priority="256"/>
  </conditionalFormatting>
  <conditionalFormatting sqref="C726">
    <cfRule type="duplicateValues" dxfId="108" priority="251"/>
  </conditionalFormatting>
  <conditionalFormatting sqref="C727">
    <cfRule type="duplicateValues" dxfId="107" priority="252"/>
  </conditionalFormatting>
  <conditionalFormatting sqref="C728">
    <cfRule type="duplicateValues" dxfId="106" priority="268"/>
  </conditionalFormatting>
  <conditionalFormatting sqref="C729">
    <cfRule type="duplicateValues" dxfId="105" priority="253"/>
  </conditionalFormatting>
  <conditionalFormatting sqref="C730">
    <cfRule type="duplicateValues" dxfId="104" priority="254"/>
  </conditionalFormatting>
  <conditionalFormatting sqref="C731">
    <cfRule type="duplicateValues" dxfId="103" priority="255"/>
  </conditionalFormatting>
  <conditionalFormatting sqref="C732:C735 C709 C718:C721 C723">
    <cfRule type="duplicateValues" dxfId="102" priority="259"/>
  </conditionalFormatting>
  <conditionalFormatting sqref="C732:C735 C723">
    <cfRule type="duplicateValues" dxfId="101" priority="257"/>
  </conditionalFormatting>
  <conditionalFormatting sqref="C763">
    <cfRule type="duplicateValues" dxfId="100" priority="276"/>
  </conditionalFormatting>
  <conditionalFormatting sqref="C764">
    <cfRule type="duplicateValues" dxfId="99" priority="275"/>
  </conditionalFormatting>
  <conditionalFormatting sqref="C765">
    <cfRule type="duplicateValues" dxfId="98" priority="270"/>
  </conditionalFormatting>
  <conditionalFormatting sqref="C766">
    <cfRule type="duplicateValues" dxfId="97" priority="271"/>
  </conditionalFormatting>
  <conditionalFormatting sqref="C767">
    <cfRule type="duplicateValues" dxfId="96" priority="277"/>
  </conditionalFormatting>
  <conditionalFormatting sqref="C768">
    <cfRule type="duplicateValues" dxfId="95" priority="272"/>
  </conditionalFormatting>
  <conditionalFormatting sqref="C769">
    <cfRule type="duplicateValues" dxfId="94" priority="273"/>
  </conditionalFormatting>
  <conditionalFormatting sqref="C770">
    <cfRule type="duplicateValues" dxfId="93" priority="274"/>
  </conditionalFormatting>
  <conditionalFormatting sqref="C771:C774">
    <cfRule type="duplicateValues" dxfId="92" priority="269"/>
  </conditionalFormatting>
  <conditionalFormatting sqref="C777">
    <cfRule type="duplicateValues" dxfId="91" priority="285"/>
  </conditionalFormatting>
  <conditionalFormatting sqref="C778">
    <cfRule type="duplicateValues" dxfId="90" priority="284"/>
  </conditionalFormatting>
  <conditionalFormatting sqref="C779">
    <cfRule type="duplicateValues" dxfId="89" priority="279"/>
  </conditionalFormatting>
  <conditionalFormatting sqref="C780">
    <cfRule type="duplicateValues" dxfId="88" priority="280"/>
  </conditionalFormatting>
  <conditionalFormatting sqref="C781">
    <cfRule type="duplicateValues" dxfId="87" priority="286"/>
  </conditionalFormatting>
  <conditionalFormatting sqref="C782">
    <cfRule type="duplicateValues" dxfId="86" priority="281"/>
  </conditionalFormatting>
  <conditionalFormatting sqref="C783">
    <cfRule type="duplicateValues" dxfId="85" priority="282"/>
  </conditionalFormatting>
  <conditionalFormatting sqref="C784">
    <cfRule type="duplicateValues" dxfId="84" priority="283"/>
  </conditionalFormatting>
  <conditionalFormatting sqref="C785:C788">
    <cfRule type="duplicateValues" dxfId="83" priority="278"/>
  </conditionalFormatting>
  <conditionalFormatting sqref="C794">
    <cfRule type="duplicateValues" dxfId="82" priority="372"/>
  </conditionalFormatting>
  <conditionalFormatting sqref="C803">
    <cfRule type="duplicateValues" dxfId="81" priority="373"/>
  </conditionalFormatting>
  <conditionalFormatting sqref="C813">
    <cfRule type="duplicateValues" dxfId="80" priority="374"/>
  </conditionalFormatting>
  <conditionalFormatting sqref="C815:C821">
    <cfRule type="duplicateValues" dxfId="79" priority="287"/>
  </conditionalFormatting>
  <conditionalFormatting sqref="C822">
    <cfRule type="duplicateValues" dxfId="78" priority="376"/>
  </conditionalFormatting>
  <conditionalFormatting sqref="C824:C830">
    <cfRule type="duplicateValues" dxfId="77" priority="375"/>
  </conditionalFormatting>
  <conditionalFormatting sqref="C836">
    <cfRule type="duplicateValues" dxfId="76" priority="303"/>
  </conditionalFormatting>
  <conditionalFormatting sqref="C838">
    <cfRule type="duplicateValues" dxfId="75" priority="304"/>
  </conditionalFormatting>
  <conditionalFormatting sqref="C839">
    <cfRule type="duplicateValues" dxfId="74" priority="294"/>
  </conditionalFormatting>
  <conditionalFormatting sqref="C840">
    <cfRule type="duplicateValues" dxfId="73" priority="289"/>
  </conditionalFormatting>
  <conditionalFormatting sqref="C841">
    <cfRule type="duplicateValues" dxfId="72" priority="290"/>
  </conditionalFormatting>
  <conditionalFormatting sqref="C842">
    <cfRule type="duplicateValues" dxfId="71" priority="305"/>
  </conditionalFormatting>
  <conditionalFormatting sqref="C843">
    <cfRule type="duplicateValues" dxfId="70" priority="291"/>
  </conditionalFormatting>
  <conditionalFormatting sqref="C844">
    <cfRule type="duplicateValues" dxfId="69" priority="292"/>
  </conditionalFormatting>
  <conditionalFormatting sqref="C845">
    <cfRule type="duplicateValues" dxfId="68" priority="293"/>
  </conditionalFormatting>
  <conditionalFormatting sqref="C846:C849">
    <cfRule type="duplicateValues" dxfId="67" priority="288"/>
  </conditionalFormatting>
  <conditionalFormatting sqref="C850">
    <cfRule type="duplicateValues" dxfId="66" priority="306"/>
  </conditionalFormatting>
  <conditionalFormatting sqref="C852">
    <cfRule type="duplicateValues" dxfId="65" priority="307"/>
  </conditionalFormatting>
  <conditionalFormatting sqref="C853">
    <cfRule type="duplicateValues" dxfId="64" priority="300"/>
  </conditionalFormatting>
  <conditionalFormatting sqref="C854">
    <cfRule type="duplicateValues" dxfId="63" priority="295"/>
  </conditionalFormatting>
  <conditionalFormatting sqref="C855">
    <cfRule type="duplicateValues" dxfId="62" priority="296"/>
  </conditionalFormatting>
  <conditionalFormatting sqref="C856">
    <cfRule type="duplicateValues" dxfId="61" priority="308"/>
  </conditionalFormatting>
  <conditionalFormatting sqref="C857">
    <cfRule type="duplicateValues" dxfId="60" priority="297"/>
  </conditionalFormatting>
  <conditionalFormatting sqref="C858">
    <cfRule type="duplicateValues" dxfId="59" priority="298"/>
  </conditionalFormatting>
  <conditionalFormatting sqref="C859">
    <cfRule type="duplicateValues" dxfId="58" priority="299"/>
  </conditionalFormatting>
  <conditionalFormatting sqref="C860:C863 C851">
    <cfRule type="duplicateValues" dxfId="57" priority="301"/>
  </conditionalFormatting>
  <conditionalFormatting sqref="C865">
    <cfRule type="duplicateValues" dxfId="56" priority="309"/>
  </conditionalFormatting>
  <conditionalFormatting sqref="C867">
    <cfRule type="duplicateValues" dxfId="55" priority="326"/>
  </conditionalFormatting>
  <conditionalFormatting sqref="C868">
    <cfRule type="duplicateValues" dxfId="54" priority="316"/>
  </conditionalFormatting>
  <conditionalFormatting sqref="C869">
    <cfRule type="duplicateValues" dxfId="53" priority="311"/>
  </conditionalFormatting>
  <conditionalFormatting sqref="C870">
    <cfRule type="duplicateValues" dxfId="52" priority="312"/>
  </conditionalFormatting>
  <conditionalFormatting sqref="C871">
    <cfRule type="duplicateValues" dxfId="51" priority="327"/>
  </conditionalFormatting>
  <conditionalFormatting sqref="C872">
    <cfRule type="duplicateValues" dxfId="50" priority="313"/>
  </conditionalFormatting>
  <conditionalFormatting sqref="C873">
    <cfRule type="duplicateValues" dxfId="49" priority="314"/>
  </conditionalFormatting>
  <conditionalFormatting sqref="C874">
    <cfRule type="duplicateValues" dxfId="48" priority="315"/>
  </conditionalFormatting>
  <conditionalFormatting sqref="C875:C878">
    <cfRule type="duplicateValues" dxfId="47" priority="310"/>
  </conditionalFormatting>
  <conditionalFormatting sqref="C879">
    <cfRule type="duplicateValues" dxfId="46" priority="323"/>
  </conditionalFormatting>
  <conditionalFormatting sqref="C881">
    <cfRule type="duplicateValues" dxfId="45" priority="328"/>
  </conditionalFormatting>
  <conditionalFormatting sqref="C882">
    <cfRule type="duplicateValues" dxfId="44" priority="322"/>
  </conditionalFormatting>
  <conditionalFormatting sqref="C883">
    <cfRule type="duplicateValues" dxfId="43" priority="317"/>
  </conditionalFormatting>
  <conditionalFormatting sqref="C884">
    <cfRule type="duplicateValues" dxfId="42" priority="318"/>
  </conditionalFormatting>
  <conditionalFormatting sqref="C885">
    <cfRule type="duplicateValues" dxfId="41" priority="329"/>
  </conditionalFormatting>
  <conditionalFormatting sqref="C886">
    <cfRule type="duplicateValues" dxfId="40" priority="319"/>
  </conditionalFormatting>
  <conditionalFormatting sqref="C887">
    <cfRule type="duplicateValues" dxfId="39" priority="320"/>
  </conditionalFormatting>
  <conditionalFormatting sqref="C888">
    <cfRule type="duplicateValues" dxfId="38" priority="321"/>
  </conditionalFormatting>
  <conditionalFormatting sqref="C889:C892 C880">
    <cfRule type="duplicateValues" dxfId="37" priority="324"/>
  </conditionalFormatting>
  <conditionalFormatting sqref="C900:C906">
    <cfRule type="duplicateValues" dxfId="36" priority="330"/>
  </conditionalFormatting>
  <conditionalFormatting sqref="C909:C915">
    <cfRule type="duplicateValues" dxfId="35" priority="331"/>
  </conditionalFormatting>
  <conditionalFormatting sqref="C921">
    <cfRule type="duplicateValues" dxfId="34" priority="339"/>
  </conditionalFormatting>
  <conditionalFormatting sqref="C922">
    <cfRule type="duplicateValues" dxfId="33" priority="338"/>
  </conditionalFormatting>
  <conditionalFormatting sqref="C923">
    <cfRule type="duplicateValues" dxfId="32" priority="333"/>
  </conditionalFormatting>
  <conditionalFormatting sqref="C924">
    <cfRule type="duplicateValues" dxfId="31" priority="334"/>
  </conditionalFormatting>
  <conditionalFormatting sqref="C925">
    <cfRule type="duplicateValues" dxfId="30" priority="340"/>
  </conditionalFormatting>
  <conditionalFormatting sqref="C926">
    <cfRule type="duplicateValues" dxfId="29" priority="335"/>
  </conditionalFormatting>
  <conditionalFormatting sqref="C927">
    <cfRule type="duplicateValues" dxfId="28" priority="336"/>
  </conditionalFormatting>
  <conditionalFormatting sqref="C928">
    <cfRule type="duplicateValues" dxfId="27" priority="337"/>
  </conditionalFormatting>
  <conditionalFormatting sqref="C929:C932">
    <cfRule type="duplicateValues" dxfId="26" priority="332"/>
  </conditionalFormatting>
  <conditionalFormatting sqref="C935">
    <cfRule type="duplicateValues" dxfId="25" priority="348"/>
  </conditionalFormatting>
  <conditionalFormatting sqref="C936">
    <cfRule type="duplicateValues" dxfId="24" priority="347"/>
  </conditionalFormatting>
  <conditionalFormatting sqref="C937">
    <cfRule type="duplicateValues" dxfId="23" priority="342"/>
  </conditionalFormatting>
  <conditionalFormatting sqref="C938">
    <cfRule type="duplicateValues" dxfId="22" priority="343"/>
  </conditionalFormatting>
  <conditionalFormatting sqref="C939">
    <cfRule type="duplicateValues" dxfId="21" priority="349"/>
  </conditionalFormatting>
  <conditionalFormatting sqref="C940">
    <cfRule type="duplicateValues" dxfId="20" priority="344"/>
  </conditionalFormatting>
  <conditionalFormatting sqref="C941">
    <cfRule type="duplicateValues" dxfId="19" priority="345"/>
  </conditionalFormatting>
  <conditionalFormatting sqref="C942">
    <cfRule type="duplicateValues" dxfId="18" priority="346"/>
  </conditionalFormatting>
  <conditionalFormatting sqref="C943:C946">
    <cfRule type="duplicateValues" dxfId="17" priority="341"/>
  </conditionalFormatting>
  <conditionalFormatting sqref="C1152">
    <cfRule type="duplicateValues" dxfId="16" priority="350"/>
  </conditionalFormatting>
  <conditionalFormatting sqref="C1166">
    <cfRule type="duplicateValues" dxfId="15" priority="351"/>
  </conditionalFormatting>
  <printOptions horizontalCentered="1"/>
  <pageMargins left="0" right="0" top="0.19685039370078741" bottom="0.19685039370078741" header="0.31496062992125984" footer="0.31496062992125984"/>
  <pageSetup paperSize="9" scale="85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571"/>
  <sheetViews>
    <sheetView zoomScale="90" zoomScaleNormal="90" workbookViewId="0">
      <pane ySplit="1" topLeftCell="A2" activePane="bottomLeft" state="frozen"/>
      <selection pane="bottomLeft" activeCell="G407" sqref="G407"/>
    </sheetView>
  </sheetViews>
  <sheetFormatPr defaultRowHeight="12.75"/>
  <cols>
    <col min="1" max="1" width="4.7109375" style="351" customWidth="1"/>
    <col min="2" max="2" width="18.7109375" style="213" customWidth="1"/>
    <col min="3" max="3" width="72.5703125" customWidth="1"/>
    <col min="4" max="4" width="7.42578125" customWidth="1"/>
    <col min="5" max="8" width="15.7109375" style="210" customWidth="1"/>
    <col min="10" max="10" width="12.140625" bestFit="1" customWidth="1"/>
  </cols>
  <sheetData>
    <row r="1" spans="1:8" ht="51.75" thickBot="1">
      <c r="A1" s="334" t="s">
        <v>120</v>
      </c>
      <c r="B1" s="307" t="s">
        <v>2048</v>
      </c>
      <c r="C1" s="307" t="s">
        <v>121</v>
      </c>
      <c r="D1" s="307" t="s">
        <v>1936</v>
      </c>
      <c r="E1" s="339" t="s">
        <v>2656</v>
      </c>
      <c r="F1" s="308" t="s">
        <v>2657</v>
      </c>
      <c r="G1" s="308" t="s">
        <v>2658</v>
      </c>
      <c r="H1" s="339" t="s">
        <v>2659</v>
      </c>
    </row>
    <row r="2" spans="1:8">
      <c r="A2" s="381" t="s">
        <v>1960</v>
      </c>
      <c r="B2" s="382" t="s">
        <v>1961</v>
      </c>
      <c r="C2" s="383" t="s">
        <v>1962</v>
      </c>
      <c r="D2" s="384"/>
      <c r="E2" s="385"/>
      <c r="F2" s="385"/>
      <c r="G2" s="385"/>
      <c r="H2" s="385"/>
    </row>
    <row r="3" spans="1:8">
      <c r="A3" s="386" t="s">
        <v>1963</v>
      </c>
      <c r="B3" s="310" t="s">
        <v>1231</v>
      </c>
      <c r="C3" s="309" t="s">
        <v>1964</v>
      </c>
      <c r="D3" s="311"/>
      <c r="E3" s="318"/>
      <c r="F3" s="318"/>
      <c r="G3" s="318"/>
      <c r="H3" s="318"/>
    </row>
    <row r="4" spans="1:8">
      <c r="A4" s="386" t="s">
        <v>1965</v>
      </c>
      <c r="B4" s="310" t="s">
        <v>1233</v>
      </c>
      <c r="C4" s="309" t="s">
        <v>1966</v>
      </c>
      <c r="D4" s="311"/>
      <c r="E4" s="318"/>
      <c r="F4" s="318"/>
      <c r="G4" s="318"/>
      <c r="H4" s="318"/>
    </row>
    <row r="5" spans="1:8">
      <c r="A5" s="386" t="s">
        <v>1967</v>
      </c>
      <c r="B5" s="310" t="s">
        <v>122</v>
      </c>
      <c r="C5" s="309" t="s">
        <v>1968</v>
      </c>
      <c r="D5" s="311"/>
      <c r="E5" s="318"/>
      <c r="F5" s="318"/>
      <c r="G5" s="318"/>
      <c r="H5" s="318"/>
    </row>
    <row r="6" spans="1:8">
      <c r="A6" s="386" t="s">
        <v>1969</v>
      </c>
      <c r="B6" s="310" t="s">
        <v>123</v>
      </c>
      <c r="C6" s="309" t="s">
        <v>1236</v>
      </c>
      <c r="D6" s="311"/>
      <c r="E6" s="318"/>
      <c r="F6" s="318"/>
      <c r="G6" s="318"/>
      <c r="H6" s="318"/>
    </row>
    <row r="7" spans="1:8">
      <c r="A7" s="375">
        <v>7</v>
      </c>
      <c r="B7" s="792">
        <v>600100100100000</v>
      </c>
      <c r="C7" s="313" t="s">
        <v>1821</v>
      </c>
      <c r="D7" s="314"/>
      <c r="E7" s="319">
        <f>+F7+G7</f>
        <v>19996653.440000001</v>
      </c>
      <c r="F7" s="344">
        <v>19996653.440000001</v>
      </c>
      <c r="G7" s="344"/>
      <c r="H7" s="319">
        <v>18496634.670000002</v>
      </c>
    </row>
    <row r="8" spans="1:8">
      <c r="A8" s="386" t="s">
        <v>1969</v>
      </c>
      <c r="B8" s="793" t="s">
        <v>125</v>
      </c>
      <c r="C8" s="309" t="s">
        <v>1237</v>
      </c>
      <c r="D8" s="311"/>
      <c r="E8" s="356"/>
      <c r="F8" s="356"/>
      <c r="G8" s="356"/>
      <c r="H8" s="356">
        <v>0</v>
      </c>
    </row>
    <row r="9" spans="1:8">
      <c r="A9" s="375">
        <v>7</v>
      </c>
      <c r="B9" s="792">
        <v>600100100200000</v>
      </c>
      <c r="C9" s="313" t="s">
        <v>124</v>
      </c>
      <c r="D9" s="314"/>
      <c r="E9" s="319">
        <f t="shared" ref="E9:E71" si="0">+F9+G9</f>
        <v>21785251.82</v>
      </c>
      <c r="F9" s="344">
        <v>21785251.82</v>
      </c>
      <c r="G9" s="344"/>
      <c r="H9" s="319">
        <v>33243034.84</v>
      </c>
    </row>
    <row r="10" spans="1:8">
      <c r="A10" s="386" t="s">
        <v>1969</v>
      </c>
      <c r="B10" s="793" t="s">
        <v>126</v>
      </c>
      <c r="C10" s="309" t="s">
        <v>1238</v>
      </c>
      <c r="D10" s="311"/>
      <c r="E10" s="356"/>
      <c r="F10" s="356"/>
      <c r="G10" s="356"/>
      <c r="H10" s="356">
        <v>0</v>
      </c>
    </row>
    <row r="11" spans="1:8">
      <c r="A11" s="386" t="s">
        <v>1970</v>
      </c>
      <c r="B11" s="793" t="s">
        <v>128</v>
      </c>
      <c r="C11" s="309" t="s">
        <v>1971</v>
      </c>
      <c r="D11" s="311"/>
      <c r="E11" s="356"/>
      <c r="F11" s="356"/>
      <c r="G11" s="356"/>
      <c r="H11" s="356">
        <v>0</v>
      </c>
    </row>
    <row r="12" spans="1:8">
      <c r="A12" s="375">
        <v>8</v>
      </c>
      <c r="B12" s="792">
        <v>600100100301000</v>
      </c>
      <c r="C12" s="313" t="s">
        <v>127</v>
      </c>
      <c r="D12" s="314"/>
      <c r="E12" s="319">
        <f t="shared" si="0"/>
        <v>0</v>
      </c>
      <c r="F12" s="344"/>
      <c r="G12" s="344"/>
      <c r="H12" s="319">
        <v>0</v>
      </c>
    </row>
    <row r="13" spans="1:8">
      <c r="A13" s="386" t="s">
        <v>1970</v>
      </c>
      <c r="B13" s="793" t="s">
        <v>130</v>
      </c>
      <c r="C13" s="309" t="s">
        <v>1240</v>
      </c>
      <c r="D13" s="311"/>
      <c r="E13" s="356"/>
      <c r="F13" s="356"/>
      <c r="G13" s="356"/>
      <c r="H13" s="356">
        <v>0</v>
      </c>
    </row>
    <row r="14" spans="1:8">
      <c r="A14" s="375">
        <v>8</v>
      </c>
      <c r="B14" s="792">
        <v>600100100302000</v>
      </c>
      <c r="C14" s="313" t="s">
        <v>129</v>
      </c>
      <c r="D14" s="314"/>
      <c r="E14" s="319">
        <f t="shared" si="0"/>
        <v>2781000</v>
      </c>
      <c r="F14" s="344">
        <v>2781000</v>
      </c>
      <c r="G14" s="344"/>
      <c r="H14" s="319">
        <v>2781000</v>
      </c>
    </row>
    <row r="15" spans="1:8" ht="25.5">
      <c r="A15" s="386" t="s">
        <v>1969</v>
      </c>
      <c r="B15" s="793" t="s">
        <v>132</v>
      </c>
      <c r="C15" s="309" t="s">
        <v>1241</v>
      </c>
      <c r="D15" s="311"/>
      <c r="E15" s="356"/>
      <c r="F15" s="356"/>
      <c r="G15" s="356"/>
      <c r="H15" s="356">
        <v>0</v>
      </c>
    </row>
    <row r="16" spans="1:8">
      <c r="A16" s="375">
        <v>7</v>
      </c>
      <c r="B16" s="792">
        <v>600100100400000</v>
      </c>
      <c r="C16" s="313" t="s">
        <v>131</v>
      </c>
      <c r="D16" s="314"/>
      <c r="E16" s="319">
        <f t="shared" si="0"/>
        <v>0</v>
      </c>
      <c r="F16" s="344"/>
      <c r="G16" s="344"/>
      <c r="H16" s="319">
        <v>0</v>
      </c>
    </row>
    <row r="17" spans="1:8">
      <c r="A17" s="386" t="s">
        <v>1967</v>
      </c>
      <c r="B17" s="793" t="s">
        <v>133</v>
      </c>
      <c r="C17" s="309" t="s">
        <v>1972</v>
      </c>
      <c r="D17" s="311"/>
      <c r="E17" s="356"/>
      <c r="F17" s="356"/>
      <c r="G17" s="356"/>
      <c r="H17" s="356">
        <v>0</v>
      </c>
    </row>
    <row r="18" spans="1:8">
      <c r="A18" s="375">
        <v>6</v>
      </c>
      <c r="B18" s="792">
        <v>600100200000000</v>
      </c>
      <c r="C18" s="313" t="s">
        <v>134</v>
      </c>
      <c r="D18" s="314"/>
      <c r="E18" s="319">
        <f t="shared" si="0"/>
        <v>0</v>
      </c>
      <c r="F18" s="344"/>
      <c r="G18" s="344"/>
      <c r="H18" s="319">
        <v>0</v>
      </c>
    </row>
    <row r="19" spans="1:8">
      <c r="A19" s="386" t="s">
        <v>1965</v>
      </c>
      <c r="B19" s="793" t="s">
        <v>135</v>
      </c>
      <c r="C19" s="309" t="s">
        <v>1973</v>
      </c>
      <c r="D19" s="311"/>
      <c r="E19" s="356"/>
      <c r="F19" s="356"/>
      <c r="G19" s="356"/>
      <c r="H19" s="356">
        <v>0</v>
      </c>
    </row>
    <row r="20" spans="1:8">
      <c r="A20" s="386" t="s">
        <v>1967</v>
      </c>
      <c r="B20" s="793" t="s">
        <v>136</v>
      </c>
      <c r="C20" s="309" t="s">
        <v>1974</v>
      </c>
      <c r="D20" s="311"/>
      <c r="E20" s="356"/>
      <c r="F20" s="356"/>
      <c r="G20" s="356"/>
      <c r="H20" s="356">
        <v>0</v>
      </c>
    </row>
    <row r="21" spans="1:8">
      <c r="A21" s="386" t="s">
        <v>1969</v>
      </c>
      <c r="B21" s="793" t="s">
        <v>137</v>
      </c>
      <c r="C21" s="309" t="s">
        <v>1975</v>
      </c>
      <c r="D21" s="311"/>
      <c r="E21" s="356"/>
      <c r="F21" s="356"/>
      <c r="G21" s="356"/>
      <c r="H21" s="356">
        <v>0</v>
      </c>
    </row>
    <row r="22" spans="1:8">
      <c r="A22" s="375">
        <v>7</v>
      </c>
      <c r="B22" s="792">
        <v>600200100101000</v>
      </c>
      <c r="C22" s="313" t="s">
        <v>138</v>
      </c>
      <c r="D22" s="314"/>
      <c r="E22" s="319">
        <f t="shared" si="0"/>
        <v>0</v>
      </c>
      <c r="F22" s="344"/>
      <c r="G22" s="344"/>
      <c r="H22" s="319">
        <v>0</v>
      </c>
    </row>
    <row r="23" spans="1:8">
      <c r="A23" s="375">
        <v>7</v>
      </c>
      <c r="B23" s="792">
        <v>600200100102000</v>
      </c>
      <c r="C23" s="313" t="s">
        <v>139</v>
      </c>
      <c r="D23" s="314"/>
      <c r="E23" s="319">
        <f t="shared" si="0"/>
        <v>0</v>
      </c>
      <c r="F23" s="344"/>
      <c r="G23" s="344"/>
      <c r="H23" s="319">
        <v>0</v>
      </c>
    </row>
    <row r="24" spans="1:8">
      <c r="A24" s="375">
        <v>7</v>
      </c>
      <c r="B24" s="792">
        <v>600200100103000</v>
      </c>
      <c r="C24" s="313" t="s">
        <v>140</v>
      </c>
      <c r="D24" s="314"/>
      <c r="E24" s="319">
        <f t="shared" si="0"/>
        <v>0</v>
      </c>
      <c r="F24" s="344"/>
      <c r="G24" s="344"/>
      <c r="H24" s="319">
        <v>0</v>
      </c>
    </row>
    <row r="25" spans="1:8">
      <c r="A25" s="375">
        <v>7</v>
      </c>
      <c r="B25" s="792">
        <v>600200100104000</v>
      </c>
      <c r="C25" s="313" t="s">
        <v>141</v>
      </c>
      <c r="D25" s="314"/>
      <c r="E25" s="319">
        <f t="shared" si="0"/>
        <v>0</v>
      </c>
      <c r="F25" s="344"/>
      <c r="G25" s="344"/>
      <c r="H25" s="319">
        <v>0</v>
      </c>
    </row>
    <row r="26" spans="1:8">
      <c r="A26" s="375">
        <v>7</v>
      </c>
      <c r="B26" s="792">
        <v>600200100108000</v>
      </c>
      <c r="C26" s="313" t="s">
        <v>142</v>
      </c>
      <c r="D26" s="314"/>
      <c r="E26" s="319">
        <f t="shared" si="0"/>
        <v>38785988.990000002</v>
      </c>
      <c r="F26" s="344">
        <v>38785988.990000002</v>
      </c>
      <c r="G26" s="344"/>
      <c r="H26" s="319">
        <v>6726687.8399999999</v>
      </c>
    </row>
    <row r="27" spans="1:8">
      <c r="A27" s="375">
        <v>7</v>
      </c>
      <c r="B27" s="792">
        <v>600200100109000</v>
      </c>
      <c r="C27" s="313" t="s">
        <v>143</v>
      </c>
      <c r="D27" s="314"/>
      <c r="E27" s="319">
        <f t="shared" si="0"/>
        <v>0</v>
      </c>
      <c r="F27" s="344"/>
      <c r="G27" s="344"/>
      <c r="H27" s="319">
        <v>0</v>
      </c>
    </row>
    <row r="28" spans="1:8" ht="25.5">
      <c r="A28" s="386" t="s">
        <v>1969</v>
      </c>
      <c r="B28" s="793" t="s">
        <v>144</v>
      </c>
      <c r="C28" s="309" t="s">
        <v>1976</v>
      </c>
      <c r="D28" s="311"/>
      <c r="E28" s="356"/>
      <c r="F28" s="356"/>
      <c r="G28" s="356"/>
      <c r="H28" s="356">
        <v>0</v>
      </c>
    </row>
    <row r="29" spans="1:8" ht="24">
      <c r="A29" s="375">
        <v>7</v>
      </c>
      <c r="B29" s="792">
        <v>600200100200000</v>
      </c>
      <c r="C29" s="313" t="s">
        <v>1958</v>
      </c>
      <c r="D29" s="314"/>
      <c r="E29" s="319">
        <f t="shared" si="0"/>
        <v>0</v>
      </c>
      <c r="F29" s="344"/>
      <c r="G29" s="344"/>
      <c r="H29" s="319">
        <v>0</v>
      </c>
    </row>
    <row r="30" spans="1:8" ht="25.5">
      <c r="A30" s="386" t="s">
        <v>1969</v>
      </c>
      <c r="B30" s="793" t="s">
        <v>145</v>
      </c>
      <c r="C30" s="309" t="s">
        <v>1977</v>
      </c>
      <c r="D30" s="311"/>
      <c r="E30" s="356"/>
      <c r="F30" s="356"/>
      <c r="G30" s="356"/>
      <c r="H30" s="356">
        <v>0</v>
      </c>
    </row>
    <row r="31" spans="1:8" ht="24">
      <c r="A31" s="375">
        <v>7</v>
      </c>
      <c r="B31" s="792">
        <v>600200100300000</v>
      </c>
      <c r="C31" s="313" t="s">
        <v>1959</v>
      </c>
      <c r="D31" s="314"/>
      <c r="E31" s="319">
        <f t="shared" si="0"/>
        <v>345000</v>
      </c>
      <c r="F31" s="344">
        <v>345000</v>
      </c>
      <c r="G31" s="344"/>
      <c r="H31" s="319">
        <v>0</v>
      </c>
    </row>
    <row r="32" spans="1:8">
      <c r="A32" s="386" t="s">
        <v>1969</v>
      </c>
      <c r="B32" s="793" t="s">
        <v>147</v>
      </c>
      <c r="C32" s="309" t="s">
        <v>1978</v>
      </c>
      <c r="D32" s="311"/>
      <c r="E32" s="356"/>
      <c r="F32" s="356"/>
      <c r="G32" s="356"/>
      <c r="H32" s="356">
        <v>0</v>
      </c>
    </row>
    <row r="33" spans="1:8">
      <c r="A33" s="375">
        <v>7</v>
      </c>
      <c r="B33" s="792">
        <v>600200100400000</v>
      </c>
      <c r="C33" s="313" t="s">
        <v>146</v>
      </c>
      <c r="D33" s="314"/>
      <c r="E33" s="319">
        <f t="shared" si="0"/>
        <v>1430000</v>
      </c>
      <c r="F33" s="344">
        <v>1430000</v>
      </c>
      <c r="G33" s="344"/>
      <c r="H33" s="319">
        <v>0</v>
      </c>
    </row>
    <row r="34" spans="1:8" ht="25.5">
      <c r="A34" s="386" t="s">
        <v>1967</v>
      </c>
      <c r="B34" s="793" t="s">
        <v>148</v>
      </c>
      <c r="C34" s="309" t="s">
        <v>1979</v>
      </c>
      <c r="D34" s="311"/>
      <c r="E34" s="356"/>
      <c r="F34" s="356"/>
      <c r="G34" s="356"/>
      <c r="H34" s="356">
        <v>0</v>
      </c>
    </row>
    <row r="35" spans="1:8" ht="25.5">
      <c r="A35" s="386" t="s">
        <v>1969</v>
      </c>
      <c r="B35" s="793" t="s">
        <v>150</v>
      </c>
      <c r="C35" s="309" t="s">
        <v>1980</v>
      </c>
      <c r="D35" s="311" t="s">
        <v>1248</v>
      </c>
      <c r="E35" s="356"/>
      <c r="F35" s="356"/>
      <c r="G35" s="356"/>
      <c r="H35" s="356">
        <v>0</v>
      </c>
    </row>
    <row r="36" spans="1:8" ht="24">
      <c r="A36" s="375" t="s">
        <v>1970</v>
      </c>
      <c r="B36" s="792">
        <v>600200200100000</v>
      </c>
      <c r="C36" s="313" t="s">
        <v>149</v>
      </c>
      <c r="D36" s="314" t="s">
        <v>1248</v>
      </c>
      <c r="E36" s="319">
        <f t="shared" si="0"/>
        <v>0</v>
      </c>
      <c r="F36" s="344"/>
      <c r="G36" s="344"/>
      <c r="H36" s="319">
        <v>0</v>
      </c>
    </row>
    <row r="37" spans="1:8" ht="25.5">
      <c r="A37" s="386" t="s">
        <v>1969</v>
      </c>
      <c r="B37" s="793" t="s">
        <v>152</v>
      </c>
      <c r="C37" s="309" t="s">
        <v>1981</v>
      </c>
      <c r="D37" s="311" t="s">
        <v>1248</v>
      </c>
      <c r="E37" s="356"/>
      <c r="F37" s="356"/>
      <c r="G37" s="356"/>
      <c r="H37" s="356">
        <v>0</v>
      </c>
    </row>
    <row r="38" spans="1:8">
      <c r="A38" s="375">
        <v>7</v>
      </c>
      <c r="B38" s="792">
        <v>600200200200000</v>
      </c>
      <c r="C38" s="313" t="s">
        <v>151</v>
      </c>
      <c r="D38" s="314" t="s">
        <v>1248</v>
      </c>
      <c r="E38" s="319">
        <f t="shared" si="0"/>
        <v>0</v>
      </c>
      <c r="F38" s="344"/>
      <c r="G38" s="344"/>
      <c r="H38" s="319">
        <v>0</v>
      </c>
    </row>
    <row r="39" spans="1:8">
      <c r="A39" s="386" t="s">
        <v>1967</v>
      </c>
      <c r="B39" s="793" t="s">
        <v>153</v>
      </c>
      <c r="C39" s="309" t="s">
        <v>1982</v>
      </c>
      <c r="D39" s="311"/>
      <c r="E39" s="356"/>
      <c r="F39" s="356"/>
      <c r="G39" s="356"/>
      <c r="H39" s="356">
        <v>0</v>
      </c>
    </row>
    <row r="40" spans="1:8">
      <c r="A40" s="386" t="s">
        <v>1969</v>
      </c>
      <c r="B40" s="793" t="s">
        <v>155</v>
      </c>
      <c r="C40" s="309" t="s">
        <v>1252</v>
      </c>
      <c r="D40" s="311"/>
      <c r="E40" s="356"/>
      <c r="F40" s="356"/>
      <c r="G40" s="356"/>
      <c r="H40" s="356">
        <v>0</v>
      </c>
    </row>
    <row r="41" spans="1:8">
      <c r="A41" s="375">
        <v>7</v>
      </c>
      <c r="B41" s="794">
        <v>600200300050000</v>
      </c>
      <c r="C41" s="313" t="s">
        <v>154</v>
      </c>
      <c r="D41" s="314"/>
      <c r="E41" s="319">
        <f t="shared" si="0"/>
        <v>966418.02</v>
      </c>
      <c r="F41" s="344">
        <v>966418.02</v>
      </c>
      <c r="G41" s="344"/>
      <c r="H41" s="319">
        <v>955315.95</v>
      </c>
    </row>
    <row r="42" spans="1:8">
      <c r="A42" s="386" t="s">
        <v>1969</v>
      </c>
      <c r="B42" s="793" t="s">
        <v>156</v>
      </c>
      <c r="C42" s="309" t="s">
        <v>1253</v>
      </c>
      <c r="D42" s="311"/>
      <c r="E42" s="356"/>
      <c r="F42" s="356"/>
      <c r="G42" s="356"/>
      <c r="H42" s="356">
        <v>0</v>
      </c>
    </row>
    <row r="43" spans="1:8">
      <c r="A43" s="375">
        <v>7</v>
      </c>
      <c r="B43" s="792">
        <v>600200300101000</v>
      </c>
      <c r="C43" s="313" t="s">
        <v>157</v>
      </c>
      <c r="D43" s="314"/>
      <c r="E43" s="319">
        <f t="shared" si="0"/>
        <v>0</v>
      </c>
      <c r="F43" s="344"/>
      <c r="G43" s="344"/>
      <c r="H43" s="319">
        <v>0</v>
      </c>
    </row>
    <row r="44" spans="1:8">
      <c r="A44" s="375">
        <v>7</v>
      </c>
      <c r="B44" s="792">
        <v>600200300102000</v>
      </c>
      <c r="C44" s="313" t="s">
        <v>158</v>
      </c>
      <c r="D44" s="314"/>
      <c r="E44" s="319">
        <f t="shared" si="0"/>
        <v>0</v>
      </c>
      <c r="F44" s="344"/>
      <c r="G44" s="344"/>
      <c r="H44" s="319">
        <v>0</v>
      </c>
    </row>
    <row r="45" spans="1:8">
      <c r="A45" s="375">
        <v>7</v>
      </c>
      <c r="B45" s="792">
        <v>600200300103000</v>
      </c>
      <c r="C45" s="313" t="s">
        <v>159</v>
      </c>
      <c r="D45" s="314"/>
      <c r="E45" s="319">
        <f t="shared" si="0"/>
        <v>0</v>
      </c>
      <c r="F45" s="344"/>
      <c r="G45" s="344"/>
      <c r="H45" s="319">
        <v>0</v>
      </c>
    </row>
    <row r="46" spans="1:8">
      <c r="A46" s="375">
        <v>7</v>
      </c>
      <c r="B46" s="792">
        <v>600200300104000</v>
      </c>
      <c r="C46" s="313" t="s">
        <v>160</v>
      </c>
      <c r="D46" s="314"/>
      <c r="E46" s="319">
        <f t="shared" si="0"/>
        <v>0</v>
      </c>
      <c r="F46" s="344"/>
      <c r="G46" s="344"/>
      <c r="H46" s="319">
        <v>0</v>
      </c>
    </row>
    <row r="47" spans="1:8">
      <c r="A47" s="375">
        <v>7</v>
      </c>
      <c r="B47" s="792">
        <v>600200300108000</v>
      </c>
      <c r="C47" s="313" t="s">
        <v>161</v>
      </c>
      <c r="D47" s="314"/>
      <c r="E47" s="319">
        <f t="shared" si="0"/>
        <v>0</v>
      </c>
      <c r="F47" s="344"/>
      <c r="G47" s="344"/>
      <c r="H47" s="319">
        <v>1383403.2</v>
      </c>
    </row>
    <row r="48" spans="1:8" ht="24">
      <c r="A48" s="375">
        <v>7</v>
      </c>
      <c r="B48" s="792">
        <v>600200300109000</v>
      </c>
      <c r="C48" s="313" t="s">
        <v>162</v>
      </c>
      <c r="D48" s="314"/>
      <c r="E48" s="319">
        <f t="shared" si="0"/>
        <v>0</v>
      </c>
      <c r="F48" s="344"/>
      <c r="G48" s="344"/>
      <c r="H48" s="319">
        <v>0</v>
      </c>
    </row>
    <row r="49" spans="1:8">
      <c r="A49" s="386" t="s">
        <v>1969</v>
      </c>
      <c r="B49" s="793" t="s">
        <v>164</v>
      </c>
      <c r="C49" s="309" t="s">
        <v>1254</v>
      </c>
      <c r="D49" s="311"/>
      <c r="E49" s="356"/>
      <c r="F49" s="356"/>
      <c r="G49" s="356"/>
      <c r="H49" s="356">
        <v>0</v>
      </c>
    </row>
    <row r="50" spans="1:8">
      <c r="A50" s="375" t="s">
        <v>1970</v>
      </c>
      <c r="B50" s="792">
        <v>600200300200000</v>
      </c>
      <c r="C50" s="313" t="s">
        <v>163</v>
      </c>
      <c r="D50" s="314"/>
      <c r="E50" s="319">
        <f t="shared" si="0"/>
        <v>0</v>
      </c>
      <c r="F50" s="344"/>
      <c r="G50" s="344"/>
      <c r="H50" s="319">
        <v>0</v>
      </c>
    </row>
    <row r="51" spans="1:8">
      <c r="A51" s="386" t="s">
        <v>1969</v>
      </c>
      <c r="B51" s="793" t="s">
        <v>166</v>
      </c>
      <c r="C51" s="309" t="s">
        <v>1255</v>
      </c>
      <c r="D51" s="311"/>
      <c r="E51" s="356"/>
      <c r="F51" s="356"/>
      <c r="G51" s="356"/>
      <c r="H51" s="356">
        <v>0</v>
      </c>
    </row>
    <row r="52" spans="1:8">
      <c r="A52" s="375">
        <v>7</v>
      </c>
      <c r="B52" s="792">
        <v>600200300300000</v>
      </c>
      <c r="C52" s="313" t="s">
        <v>165</v>
      </c>
      <c r="D52" s="314"/>
      <c r="E52" s="319">
        <f t="shared" si="0"/>
        <v>0</v>
      </c>
      <c r="F52" s="344"/>
      <c r="G52" s="344"/>
      <c r="H52" s="319">
        <v>0</v>
      </c>
    </row>
    <row r="53" spans="1:8" ht="38.25">
      <c r="A53" s="386" t="s">
        <v>1969</v>
      </c>
      <c r="B53" s="793" t="s">
        <v>168</v>
      </c>
      <c r="C53" s="309" t="s">
        <v>1983</v>
      </c>
      <c r="D53" s="311"/>
      <c r="E53" s="356"/>
      <c r="F53" s="356"/>
      <c r="G53" s="356"/>
      <c r="H53" s="356">
        <v>0</v>
      </c>
    </row>
    <row r="54" spans="1:8" ht="36">
      <c r="A54" s="375">
        <v>7</v>
      </c>
      <c r="B54" s="792">
        <v>600200300400000</v>
      </c>
      <c r="C54" s="313" t="s">
        <v>167</v>
      </c>
      <c r="D54" s="314"/>
      <c r="E54" s="319">
        <f t="shared" si="0"/>
        <v>0</v>
      </c>
      <c r="F54" s="344"/>
      <c r="G54" s="344"/>
      <c r="H54" s="319">
        <v>0</v>
      </c>
    </row>
    <row r="55" spans="1:8">
      <c r="A55" s="386" t="s">
        <v>1965</v>
      </c>
      <c r="B55" s="793" t="s">
        <v>169</v>
      </c>
      <c r="C55" s="309" t="s">
        <v>1984</v>
      </c>
      <c r="D55" s="311"/>
      <c r="E55" s="356"/>
      <c r="F55" s="356"/>
      <c r="G55" s="356"/>
      <c r="H55" s="356">
        <v>0</v>
      </c>
    </row>
    <row r="56" spans="1:8">
      <c r="A56" s="386" t="s">
        <v>1967</v>
      </c>
      <c r="B56" s="793" t="s">
        <v>171</v>
      </c>
      <c r="C56" s="309" t="s">
        <v>1985</v>
      </c>
      <c r="D56" s="311"/>
      <c r="E56" s="356"/>
      <c r="F56" s="356"/>
      <c r="G56" s="356"/>
      <c r="H56" s="356">
        <v>0</v>
      </c>
    </row>
    <row r="57" spans="1:8">
      <c r="A57" s="375">
        <v>6</v>
      </c>
      <c r="B57" s="792">
        <v>600300100000000</v>
      </c>
      <c r="C57" s="313" t="s">
        <v>170</v>
      </c>
      <c r="D57" s="314"/>
      <c r="E57" s="319">
        <f t="shared" si="0"/>
        <v>0</v>
      </c>
      <c r="F57" s="344"/>
      <c r="G57" s="344"/>
      <c r="H57" s="319">
        <v>0</v>
      </c>
    </row>
    <row r="58" spans="1:8">
      <c r="A58" s="386" t="s">
        <v>1967</v>
      </c>
      <c r="B58" s="793" t="s">
        <v>173</v>
      </c>
      <c r="C58" s="309" t="s">
        <v>1986</v>
      </c>
      <c r="D58" s="311"/>
      <c r="E58" s="356"/>
      <c r="F58" s="356"/>
      <c r="G58" s="356"/>
      <c r="H58" s="356">
        <v>0</v>
      </c>
    </row>
    <row r="59" spans="1:8">
      <c r="A59" s="375">
        <v>6</v>
      </c>
      <c r="B59" s="792">
        <v>600300200000000</v>
      </c>
      <c r="C59" s="313" t="s">
        <v>172</v>
      </c>
      <c r="D59" s="314"/>
      <c r="E59" s="319">
        <f t="shared" si="0"/>
        <v>0</v>
      </c>
      <c r="F59" s="344"/>
      <c r="G59" s="344"/>
      <c r="H59" s="319">
        <v>0</v>
      </c>
    </row>
    <row r="60" spans="1:8">
      <c r="A60" s="386" t="s">
        <v>1967</v>
      </c>
      <c r="B60" s="793" t="s">
        <v>174</v>
      </c>
      <c r="C60" s="309" t="s">
        <v>1987</v>
      </c>
      <c r="D60" s="311"/>
      <c r="E60" s="356"/>
      <c r="F60" s="356"/>
      <c r="G60" s="356"/>
      <c r="H60" s="356">
        <v>0</v>
      </c>
    </row>
    <row r="61" spans="1:8">
      <c r="A61" s="375">
        <v>6</v>
      </c>
      <c r="B61" s="792">
        <v>600300300100000</v>
      </c>
      <c r="C61" s="313" t="s">
        <v>175</v>
      </c>
      <c r="D61" s="314"/>
      <c r="E61" s="319">
        <f t="shared" si="0"/>
        <v>0</v>
      </c>
      <c r="F61" s="344"/>
      <c r="G61" s="344"/>
      <c r="H61" s="319">
        <v>0</v>
      </c>
    </row>
    <row r="62" spans="1:8">
      <c r="A62" s="375">
        <v>6</v>
      </c>
      <c r="B62" s="792">
        <v>600300300900000</v>
      </c>
      <c r="C62" s="313" t="s">
        <v>176</v>
      </c>
      <c r="D62" s="314"/>
      <c r="E62" s="319">
        <f t="shared" si="0"/>
        <v>0</v>
      </c>
      <c r="F62" s="344"/>
      <c r="G62" s="344"/>
      <c r="H62" s="319">
        <v>0</v>
      </c>
    </row>
    <row r="63" spans="1:8">
      <c r="A63" s="386" t="s">
        <v>1967</v>
      </c>
      <c r="B63" s="793" t="s">
        <v>178</v>
      </c>
      <c r="C63" s="309" t="s">
        <v>1988</v>
      </c>
      <c r="D63" s="311"/>
      <c r="E63" s="356"/>
      <c r="F63" s="356"/>
      <c r="G63" s="356"/>
      <c r="H63" s="356">
        <v>0</v>
      </c>
    </row>
    <row r="64" spans="1:8">
      <c r="A64" s="375" t="s">
        <v>1969</v>
      </c>
      <c r="B64" s="792">
        <v>600300400000000</v>
      </c>
      <c r="C64" s="313" t="s">
        <v>177</v>
      </c>
      <c r="D64" s="314"/>
      <c r="E64" s="319">
        <f t="shared" si="0"/>
        <v>0</v>
      </c>
      <c r="F64" s="344"/>
      <c r="G64" s="344"/>
      <c r="H64" s="319">
        <v>0</v>
      </c>
    </row>
    <row r="65" spans="1:8">
      <c r="A65" s="386" t="s">
        <v>1965</v>
      </c>
      <c r="B65" s="793" t="s">
        <v>180</v>
      </c>
      <c r="C65" s="309" t="s">
        <v>1989</v>
      </c>
      <c r="D65" s="311"/>
      <c r="E65" s="356"/>
      <c r="F65" s="356"/>
      <c r="G65" s="356"/>
      <c r="H65" s="356">
        <v>0</v>
      </c>
    </row>
    <row r="66" spans="1:8">
      <c r="A66" s="375" t="s">
        <v>1967</v>
      </c>
      <c r="B66" s="792">
        <v>600400000000000</v>
      </c>
      <c r="C66" s="313" t="s">
        <v>179</v>
      </c>
      <c r="D66" s="314"/>
      <c r="E66" s="319">
        <f t="shared" si="0"/>
        <v>0</v>
      </c>
      <c r="F66" s="344"/>
      <c r="G66" s="344"/>
      <c r="H66" s="319">
        <v>0</v>
      </c>
    </row>
    <row r="67" spans="1:8">
      <c r="A67" s="386" t="s">
        <v>1963</v>
      </c>
      <c r="B67" s="793" t="s">
        <v>181</v>
      </c>
      <c r="C67" s="309" t="s">
        <v>1990</v>
      </c>
      <c r="D67" s="311"/>
      <c r="E67" s="356"/>
      <c r="F67" s="356"/>
      <c r="G67" s="356"/>
      <c r="H67" s="356">
        <v>0</v>
      </c>
    </row>
    <row r="68" spans="1:8" ht="25.5">
      <c r="A68" s="386" t="s">
        <v>1965</v>
      </c>
      <c r="B68" s="793" t="s">
        <v>183</v>
      </c>
      <c r="C68" s="309" t="s">
        <v>1991</v>
      </c>
      <c r="D68" s="311"/>
      <c r="E68" s="356"/>
      <c r="F68" s="356"/>
      <c r="G68" s="356"/>
      <c r="H68" s="356">
        <v>0</v>
      </c>
    </row>
    <row r="69" spans="1:8" ht="24">
      <c r="A69" s="375" t="s">
        <v>1967</v>
      </c>
      <c r="B69" s="792">
        <v>610100000000000</v>
      </c>
      <c r="C69" s="313" t="s">
        <v>182</v>
      </c>
      <c r="D69" s="314"/>
      <c r="E69" s="319">
        <f t="shared" si="0"/>
        <v>0</v>
      </c>
      <c r="F69" s="344"/>
      <c r="G69" s="344"/>
      <c r="H69" s="319">
        <v>0</v>
      </c>
    </row>
    <row r="70" spans="1:8" ht="25.5">
      <c r="A70" s="386" t="s">
        <v>1965</v>
      </c>
      <c r="B70" s="793" t="s">
        <v>185</v>
      </c>
      <c r="C70" s="309" t="s">
        <v>1992</v>
      </c>
      <c r="D70" s="311"/>
      <c r="E70" s="356"/>
      <c r="F70" s="356"/>
      <c r="G70" s="356"/>
      <c r="H70" s="356">
        <v>0</v>
      </c>
    </row>
    <row r="71" spans="1:8">
      <c r="A71" s="375" t="s">
        <v>1967</v>
      </c>
      <c r="B71" s="792">
        <v>610200000000000</v>
      </c>
      <c r="C71" s="313" t="s">
        <v>184</v>
      </c>
      <c r="D71" s="314"/>
      <c r="E71" s="319">
        <f t="shared" si="0"/>
        <v>0</v>
      </c>
      <c r="F71" s="344"/>
      <c r="G71" s="344"/>
      <c r="H71" s="319">
        <v>0</v>
      </c>
    </row>
    <row r="72" spans="1:8">
      <c r="A72" s="386" t="s">
        <v>1963</v>
      </c>
      <c r="B72" s="793" t="s">
        <v>186</v>
      </c>
      <c r="C72" s="309" t="s">
        <v>1993</v>
      </c>
      <c r="D72" s="311"/>
      <c r="E72" s="356"/>
      <c r="F72" s="356"/>
      <c r="G72" s="356"/>
      <c r="H72" s="356">
        <v>0</v>
      </c>
    </row>
    <row r="73" spans="1:8" ht="25.5">
      <c r="A73" s="386" t="s">
        <v>1965</v>
      </c>
      <c r="B73" s="793" t="s">
        <v>188</v>
      </c>
      <c r="C73" s="309" t="s">
        <v>1267</v>
      </c>
      <c r="D73" s="311"/>
      <c r="E73" s="356"/>
      <c r="F73" s="356"/>
      <c r="G73" s="356"/>
      <c r="H73" s="356">
        <v>0</v>
      </c>
    </row>
    <row r="74" spans="1:8" ht="24">
      <c r="A74" s="375" t="s">
        <v>1967</v>
      </c>
      <c r="B74" s="792">
        <v>620050000000000</v>
      </c>
      <c r="C74" s="313" t="s">
        <v>187</v>
      </c>
      <c r="D74" s="314"/>
      <c r="E74" s="319">
        <f t="shared" ref="E74:E135" si="1">+F74+G74</f>
        <v>13336758.57</v>
      </c>
      <c r="F74" s="344">
        <v>13336758.57</v>
      </c>
      <c r="G74" s="344"/>
      <c r="H74" s="319">
        <v>677835.75</v>
      </c>
    </row>
    <row r="75" spans="1:8" ht="25.5">
      <c r="A75" s="386" t="s">
        <v>1965</v>
      </c>
      <c r="B75" s="793" t="s">
        <v>190</v>
      </c>
      <c r="C75" s="309" t="s">
        <v>1268</v>
      </c>
      <c r="D75" s="311"/>
      <c r="E75" s="356"/>
      <c r="F75" s="356"/>
      <c r="G75" s="356"/>
      <c r="H75" s="356">
        <v>0</v>
      </c>
    </row>
    <row r="76" spans="1:8" ht="24">
      <c r="A76" s="375" t="s">
        <v>1967</v>
      </c>
      <c r="B76" s="792">
        <v>620100000000000</v>
      </c>
      <c r="C76" s="313" t="s">
        <v>189</v>
      </c>
      <c r="D76" s="314"/>
      <c r="E76" s="319">
        <f t="shared" si="1"/>
        <v>0</v>
      </c>
      <c r="F76" s="347"/>
      <c r="G76" s="347"/>
      <c r="H76" s="319">
        <v>0</v>
      </c>
    </row>
    <row r="77" spans="1:8" ht="25.5">
      <c r="A77" s="386" t="s">
        <v>1965</v>
      </c>
      <c r="B77" s="793" t="s">
        <v>192</v>
      </c>
      <c r="C77" s="309" t="s">
        <v>1269</v>
      </c>
      <c r="D77" s="311"/>
      <c r="E77" s="356"/>
      <c r="F77" s="356"/>
      <c r="G77" s="356"/>
      <c r="H77" s="356">
        <v>0</v>
      </c>
    </row>
    <row r="78" spans="1:8" ht="24">
      <c r="A78" s="375" t="s">
        <v>1967</v>
      </c>
      <c r="B78" s="792">
        <v>620200000000000</v>
      </c>
      <c r="C78" s="313" t="s">
        <v>191</v>
      </c>
      <c r="D78" s="314"/>
      <c r="E78" s="319">
        <f t="shared" si="1"/>
        <v>933282.16</v>
      </c>
      <c r="F78" s="344">
        <v>933282.16</v>
      </c>
      <c r="G78" s="344"/>
      <c r="H78" s="319">
        <v>36765.990000000005</v>
      </c>
    </row>
    <row r="79" spans="1:8" ht="25.5">
      <c r="A79" s="386" t="s">
        <v>1965</v>
      </c>
      <c r="B79" s="793" t="s">
        <v>194</v>
      </c>
      <c r="C79" s="309" t="s">
        <v>1270</v>
      </c>
      <c r="D79" s="311"/>
      <c r="E79" s="356"/>
      <c r="F79" s="356"/>
      <c r="G79" s="356"/>
      <c r="H79" s="356">
        <v>0</v>
      </c>
    </row>
    <row r="80" spans="1:8">
      <c r="A80" s="375" t="s">
        <v>1967</v>
      </c>
      <c r="B80" s="792">
        <v>620300000000000</v>
      </c>
      <c r="C80" s="313" t="s">
        <v>193</v>
      </c>
      <c r="D80" s="314"/>
      <c r="E80" s="319">
        <f t="shared" si="1"/>
        <v>0</v>
      </c>
      <c r="F80" s="344"/>
      <c r="G80" s="344"/>
      <c r="H80" s="319">
        <v>0</v>
      </c>
    </row>
    <row r="81" spans="1:8" ht="25.5">
      <c r="A81" s="386" t="s">
        <v>1965</v>
      </c>
      <c r="B81" s="793" t="s">
        <v>196</v>
      </c>
      <c r="C81" s="309" t="s">
        <v>1271</v>
      </c>
      <c r="D81" s="311"/>
      <c r="E81" s="356"/>
      <c r="F81" s="356"/>
      <c r="G81" s="356"/>
      <c r="H81" s="356">
        <v>0</v>
      </c>
    </row>
    <row r="82" spans="1:8">
      <c r="A82" s="375" t="s">
        <v>1967</v>
      </c>
      <c r="B82" s="792">
        <v>620400000000000</v>
      </c>
      <c r="C82" s="313" t="s">
        <v>195</v>
      </c>
      <c r="D82" s="314"/>
      <c r="E82" s="319">
        <f t="shared" si="1"/>
        <v>0</v>
      </c>
      <c r="F82" s="344"/>
      <c r="G82" s="344"/>
      <c r="H82" s="319">
        <v>0</v>
      </c>
    </row>
    <row r="83" spans="1:8">
      <c r="A83" s="386" t="s">
        <v>1963</v>
      </c>
      <c r="B83" s="793" t="s">
        <v>1272</v>
      </c>
      <c r="C83" s="309" t="s">
        <v>1994</v>
      </c>
      <c r="D83" s="311"/>
      <c r="E83" s="356"/>
      <c r="F83" s="356"/>
      <c r="G83" s="356"/>
      <c r="H83" s="356">
        <v>0</v>
      </c>
    </row>
    <row r="84" spans="1:8" ht="25.5">
      <c r="A84" s="386" t="s">
        <v>1965</v>
      </c>
      <c r="B84" s="793" t="s">
        <v>197</v>
      </c>
      <c r="C84" s="309" t="s">
        <v>1995</v>
      </c>
      <c r="D84" s="311"/>
      <c r="E84" s="356"/>
      <c r="F84" s="356"/>
      <c r="G84" s="356"/>
      <c r="H84" s="356">
        <v>0</v>
      </c>
    </row>
    <row r="85" spans="1:8" ht="25.5">
      <c r="A85" s="386" t="s">
        <v>1967</v>
      </c>
      <c r="B85" s="793" t="s">
        <v>198</v>
      </c>
      <c r="C85" s="309" t="s">
        <v>1996</v>
      </c>
      <c r="D85" s="311" t="s">
        <v>1248</v>
      </c>
      <c r="E85" s="356"/>
      <c r="F85" s="356"/>
      <c r="G85" s="356"/>
      <c r="H85" s="356">
        <v>0</v>
      </c>
    </row>
    <row r="86" spans="1:8">
      <c r="A86" s="386" t="s">
        <v>1969</v>
      </c>
      <c r="B86" s="793" t="s">
        <v>200</v>
      </c>
      <c r="C86" s="309" t="s">
        <v>1276</v>
      </c>
      <c r="D86" s="311" t="s">
        <v>1248</v>
      </c>
      <c r="E86" s="356"/>
      <c r="F86" s="356"/>
      <c r="G86" s="356"/>
      <c r="H86" s="356">
        <v>0</v>
      </c>
    </row>
    <row r="87" spans="1:8">
      <c r="A87" s="375">
        <v>7</v>
      </c>
      <c r="B87" s="792">
        <v>630100100101000</v>
      </c>
      <c r="C87" s="313" t="s">
        <v>201</v>
      </c>
      <c r="D87" s="314" t="s">
        <v>1248</v>
      </c>
      <c r="E87" s="319">
        <f t="shared" si="1"/>
        <v>0</v>
      </c>
      <c r="F87" s="344"/>
      <c r="G87" s="344"/>
      <c r="H87" s="319">
        <v>0</v>
      </c>
    </row>
    <row r="88" spans="1:8" ht="24">
      <c r="A88" s="375">
        <v>7</v>
      </c>
      <c r="B88" s="792">
        <v>630100100102000</v>
      </c>
      <c r="C88" s="313" t="s">
        <v>1997</v>
      </c>
      <c r="D88" s="314" t="s">
        <v>1248</v>
      </c>
      <c r="E88" s="319">
        <f t="shared" si="1"/>
        <v>0</v>
      </c>
      <c r="F88" s="344"/>
      <c r="G88" s="344"/>
      <c r="H88" s="319">
        <v>0</v>
      </c>
    </row>
    <row r="89" spans="1:8">
      <c r="A89" s="386" t="s">
        <v>1969</v>
      </c>
      <c r="B89" s="793" t="s">
        <v>202</v>
      </c>
      <c r="C89" s="309" t="s">
        <v>1277</v>
      </c>
      <c r="D89" s="311" t="s">
        <v>1248</v>
      </c>
      <c r="E89" s="356"/>
      <c r="F89" s="356"/>
      <c r="G89" s="356"/>
      <c r="H89" s="356">
        <v>0</v>
      </c>
    </row>
    <row r="90" spans="1:8">
      <c r="A90" s="375">
        <v>7</v>
      </c>
      <c r="B90" s="792">
        <v>630100100201000</v>
      </c>
      <c r="C90" s="313" t="s">
        <v>203</v>
      </c>
      <c r="D90" s="314" t="s">
        <v>1248</v>
      </c>
      <c r="E90" s="319">
        <f t="shared" si="1"/>
        <v>0</v>
      </c>
      <c r="F90" s="344"/>
      <c r="G90" s="344"/>
      <c r="H90" s="319">
        <v>0</v>
      </c>
    </row>
    <row r="91" spans="1:8" ht="24">
      <c r="A91" s="375">
        <v>7</v>
      </c>
      <c r="B91" s="792">
        <v>630100100202000</v>
      </c>
      <c r="C91" s="313" t="s">
        <v>1998</v>
      </c>
      <c r="D91" s="314" t="s">
        <v>1248</v>
      </c>
      <c r="E91" s="319">
        <f t="shared" si="1"/>
        <v>0</v>
      </c>
      <c r="F91" s="344"/>
      <c r="G91" s="344"/>
      <c r="H91" s="319">
        <v>0</v>
      </c>
    </row>
    <row r="92" spans="1:8">
      <c r="A92" s="386" t="s">
        <v>1969</v>
      </c>
      <c r="B92" s="793" t="s">
        <v>204</v>
      </c>
      <c r="C92" s="309" t="s">
        <v>1278</v>
      </c>
      <c r="D92" s="311" t="s">
        <v>1248</v>
      </c>
      <c r="E92" s="356"/>
      <c r="F92" s="356"/>
      <c r="G92" s="356"/>
      <c r="H92" s="356">
        <v>0</v>
      </c>
    </row>
    <row r="93" spans="1:8" ht="24">
      <c r="A93" s="375" t="s">
        <v>1970</v>
      </c>
      <c r="B93" s="792">
        <v>630100100250000</v>
      </c>
      <c r="C93" s="313" t="s">
        <v>1999</v>
      </c>
      <c r="D93" s="314" t="s">
        <v>1248</v>
      </c>
      <c r="E93" s="319">
        <f t="shared" si="1"/>
        <v>0</v>
      </c>
      <c r="F93" s="344"/>
      <c r="G93" s="344"/>
      <c r="H93" s="319">
        <v>0</v>
      </c>
    </row>
    <row r="94" spans="1:8">
      <c r="A94" s="386" t="s">
        <v>1969</v>
      </c>
      <c r="B94" s="793" t="s">
        <v>205</v>
      </c>
      <c r="C94" s="309" t="s">
        <v>1279</v>
      </c>
      <c r="D94" s="311" t="s">
        <v>1248</v>
      </c>
      <c r="E94" s="356"/>
      <c r="F94" s="356"/>
      <c r="G94" s="356"/>
      <c r="H94" s="356">
        <v>0</v>
      </c>
    </row>
    <row r="95" spans="1:8" ht="24">
      <c r="A95" s="375" t="s">
        <v>1970</v>
      </c>
      <c r="B95" s="792">
        <v>630100100300000</v>
      </c>
      <c r="C95" s="313" t="s">
        <v>2000</v>
      </c>
      <c r="D95" s="314" t="s">
        <v>1248</v>
      </c>
      <c r="E95" s="319">
        <f t="shared" si="1"/>
        <v>0</v>
      </c>
      <c r="F95" s="344"/>
      <c r="G95" s="344"/>
      <c r="H95" s="319">
        <v>0</v>
      </c>
    </row>
    <row r="96" spans="1:8">
      <c r="A96" s="386" t="s">
        <v>1969</v>
      </c>
      <c r="B96" s="793" t="s">
        <v>206</v>
      </c>
      <c r="C96" s="309" t="s">
        <v>1280</v>
      </c>
      <c r="D96" s="311" t="s">
        <v>1248</v>
      </c>
      <c r="E96" s="356"/>
      <c r="F96" s="356"/>
      <c r="G96" s="356"/>
      <c r="H96" s="356">
        <v>0</v>
      </c>
    </row>
    <row r="97" spans="1:8">
      <c r="A97" s="375" t="s">
        <v>1970</v>
      </c>
      <c r="B97" s="792">
        <v>630100100400000</v>
      </c>
      <c r="C97" s="313" t="s">
        <v>2001</v>
      </c>
      <c r="D97" s="314" t="s">
        <v>1248</v>
      </c>
      <c r="E97" s="319">
        <f t="shared" si="1"/>
        <v>0</v>
      </c>
      <c r="F97" s="344"/>
      <c r="G97" s="344"/>
      <c r="H97" s="319">
        <v>0</v>
      </c>
    </row>
    <row r="98" spans="1:8">
      <c r="A98" s="386" t="s">
        <v>1969</v>
      </c>
      <c r="B98" s="793" t="s">
        <v>207</v>
      </c>
      <c r="C98" s="309" t="s">
        <v>1281</v>
      </c>
      <c r="D98" s="311" t="s">
        <v>1248</v>
      </c>
      <c r="E98" s="356"/>
      <c r="F98" s="356"/>
      <c r="G98" s="356"/>
      <c r="H98" s="356">
        <v>0</v>
      </c>
    </row>
    <row r="99" spans="1:8">
      <c r="A99" s="375" t="s">
        <v>1970</v>
      </c>
      <c r="B99" s="792">
        <v>630100100500000</v>
      </c>
      <c r="C99" s="313" t="s">
        <v>2002</v>
      </c>
      <c r="D99" s="314" t="s">
        <v>1248</v>
      </c>
      <c r="E99" s="319">
        <f t="shared" si="1"/>
        <v>0</v>
      </c>
      <c r="F99" s="344"/>
      <c r="G99" s="344"/>
      <c r="H99" s="319">
        <v>0</v>
      </c>
    </row>
    <row r="100" spans="1:8">
      <c r="A100" s="386" t="s">
        <v>1969</v>
      </c>
      <c r="B100" s="793" t="s">
        <v>208</v>
      </c>
      <c r="C100" s="309" t="s">
        <v>1282</v>
      </c>
      <c r="D100" s="311" t="s">
        <v>1248</v>
      </c>
      <c r="E100" s="356"/>
      <c r="F100" s="356"/>
      <c r="G100" s="356"/>
      <c r="H100" s="356">
        <v>0</v>
      </c>
    </row>
    <row r="101" spans="1:8">
      <c r="A101" s="375" t="s">
        <v>1970</v>
      </c>
      <c r="B101" s="792">
        <v>630100100600000</v>
      </c>
      <c r="C101" s="313" t="s">
        <v>2003</v>
      </c>
      <c r="D101" s="314" t="s">
        <v>1248</v>
      </c>
      <c r="E101" s="319">
        <f t="shared" si="1"/>
        <v>0</v>
      </c>
      <c r="F101" s="344"/>
      <c r="G101" s="344"/>
      <c r="H101" s="319">
        <v>0</v>
      </c>
    </row>
    <row r="102" spans="1:8">
      <c r="A102" s="386" t="s">
        <v>1969</v>
      </c>
      <c r="B102" s="793" t="s">
        <v>209</v>
      </c>
      <c r="C102" s="309" t="s">
        <v>1283</v>
      </c>
      <c r="D102" s="311" t="s">
        <v>1248</v>
      </c>
      <c r="E102" s="356"/>
      <c r="F102" s="356"/>
      <c r="G102" s="356"/>
      <c r="H102" s="356">
        <v>0</v>
      </c>
    </row>
    <row r="103" spans="1:8">
      <c r="A103" s="375" t="s">
        <v>1970</v>
      </c>
      <c r="B103" s="792">
        <v>630100100700000</v>
      </c>
      <c r="C103" s="313" t="s">
        <v>2004</v>
      </c>
      <c r="D103" s="314" t="s">
        <v>1248</v>
      </c>
      <c r="E103" s="319">
        <f t="shared" si="1"/>
        <v>0</v>
      </c>
      <c r="F103" s="344"/>
      <c r="G103" s="344"/>
      <c r="H103" s="319">
        <v>0</v>
      </c>
    </row>
    <row r="104" spans="1:8">
      <c r="A104" s="386" t="s">
        <v>1969</v>
      </c>
      <c r="B104" s="793" t="s">
        <v>210</v>
      </c>
      <c r="C104" s="309" t="s">
        <v>1284</v>
      </c>
      <c r="D104" s="311" t="s">
        <v>1248</v>
      </c>
      <c r="E104" s="356"/>
      <c r="F104" s="356"/>
      <c r="G104" s="356"/>
      <c r="H104" s="356">
        <v>0</v>
      </c>
    </row>
    <row r="105" spans="1:8">
      <c r="A105" s="375" t="s">
        <v>1970</v>
      </c>
      <c r="B105" s="792">
        <v>630100100800000</v>
      </c>
      <c r="C105" s="313" t="s">
        <v>2005</v>
      </c>
      <c r="D105" s="314" t="s">
        <v>1248</v>
      </c>
      <c r="E105" s="319">
        <f t="shared" si="1"/>
        <v>0</v>
      </c>
      <c r="F105" s="344"/>
      <c r="G105" s="344"/>
      <c r="H105" s="319">
        <v>0</v>
      </c>
    </row>
    <row r="106" spans="1:8">
      <c r="A106" s="386" t="s">
        <v>1969</v>
      </c>
      <c r="B106" s="793" t="s">
        <v>211</v>
      </c>
      <c r="C106" s="309" t="s">
        <v>1285</v>
      </c>
      <c r="D106" s="311" t="s">
        <v>1248</v>
      </c>
      <c r="E106" s="356"/>
      <c r="F106" s="356"/>
      <c r="G106" s="356"/>
      <c r="H106" s="356">
        <v>0</v>
      </c>
    </row>
    <row r="107" spans="1:8">
      <c r="A107" s="375" t="s">
        <v>1970</v>
      </c>
      <c r="B107" s="792">
        <v>630100100810000</v>
      </c>
      <c r="C107" s="313" t="s">
        <v>2006</v>
      </c>
      <c r="D107" s="314" t="s">
        <v>1248</v>
      </c>
      <c r="E107" s="319">
        <f t="shared" si="1"/>
        <v>0</v>
      </c>
      <c r="F107" s="344"/>
      <c r="G107" s="344"/>
      <c r="H107" s="319">
        <v>0</v>
      </c>
    </row>
    <row r="108" spans="1:8">
      <c r="A108" s="386" t="s">
        <v>1969</v>
      </c>
      <c r="B108" s="793" t="s">
        <v>212</v>
      </c>
      <c r="C108" s="309" t="s">
        <v>1286</v>
      </c>
      <c r="D108" s="311" t="s">
        <v>1248</v>
      </c>
      <c r="E108" s="356"/>
      <c r="F108" s="356"/>
      <c r="G108" s="356"/>
      <c r="H108" s="356">
        <v>0</v>
      </c>
    </row>
    <row r="109" spans="1:8">
      <c r="A109" s="375" t="s">
        <v>1970</v>
      </c>
      <c r="B109" s="792">
        <v>630100100820000</v>
      </c>
      <c r="C109" s="313" t="s">
        <v>2007</v>
      </c>
      <c r="D109" s="314" t="s">
        <v>1248</v>
      </c>
      <c r="E109" s="319">
        <f t="shared" si="1"/>
        <v>0</v>
      </c>
      <c r="F109" s="344"/>
      <c r="G109" s="344"/>
      <c r="H109" s="319">
        <v>0</v>
      </c>
    </row>
    <row r="110" spans="1:8">
      <c r="A110" s="386" t="s">
        <v>1969</v>
      </c>
      <c r="B110" s="793" t="s">
        <v>213</v>
      </c>
      <c r="C110" s="309" t="s">
        <v>1287</v>
      </c>
      <c r="D110" s="311" t="s">
        <v>1248</v>
      </c>
      <c r="E110" s="356"/>
      <c r="F110" s="356"/>
      <c r="G110" s="356"/>
      <c r="H110" s="356">
        <v>0</v>
      </c>
    </row>
    <row r="111" spans="1:8" ht="24">
      <c r="A111" s="375" t="s">
        <v>1970</v>
      </c>
      <c r="B111" s="792">
        <v>630100100830000</v>
      </c>
      <c r="C111" s="313" t="s">
        <v>2008</v>
      </c>
      <c r="D111" s="314" t="s">
        <v>1248</v>
      </c>
      <c r="E111" s="319">
        <f t="shared" si="1"/>
        <v>0</v>
      </c>
      <c r="F111" s="344"/>
      <c r="G111" s="344"/>
      <c r="H111" s="319">
        <v>0</v>
      </c>
    </row>
    <row r="112" spans="1:8">
      <c r="A112" s="386" t="s">
        <v>1969</v>
      </c>
      <c r="B112" s="793" t="s">
        <v>214</v>
      </c>
      <c r="C112" s="309" t="s">
        <v>1288</v>
      </c>
      <c r="D112" s="311" t="s">
        <v>1248</v>
      </c>
      <c r="E112" s="356"/>
      <c r="F112" s="356"/>
      <c r="G112" s="356"/>
      <c r="H112" s="356">
        <v>0</v>
      </c>
    </row>
    <row r="113" spans="1:8" ht="24">
      <c r="A113" s="375" t="s">
        <v>1970</v>
      </c>
      <c r="B113" s="792">
        <v>630100100840000</v>
      </c>
      <c r="C113" s="313" t="s">
        <v>2009</v>
      </c>
      <c r="D113" s="314" t="s">
        <v>1248</v>
      </c>
      <c r="E113" s="319">
        <f t="shared" si="1"/>
        <v>0</v>
      </c>
      <c r="F113" s="344"/>
      <c r="G113" s="344"/>
      <c r="H113" s="319">
        <v>0</v>
      </c>
    </row>
    <row r="114" spans="1:8">
      <c r="A114" s="386" t="s">
        <v>1969</v>
      </c>
      <c r="B114" s="793" t="s">
        <v>215</v>
      </c>
      <c r="C114" s="309" t="s">
        <v>1289</v>
      </c>
      <c r="D114" s="311" t="s">
        <v>1248</v>
      </c>
      <c r="E114" s="356"/>
      <c r="F114" s="356"/>
      <c r="G114" s="356"/>
      <c r="H114" s="356">
        <v>0</v>
      </c>
    </row>
    <row r="115" spans="1:8">
      <c r="A115" s="375" t="s">
        <v>1970</v>
      </c>
      <c r="B115" s="792">
        <v>630100100850000</v>
      </c>
      <c r="C115" s="313" t="s">
        <v>2010</v>
      </c>
      <c r="D115" s="314" t="s">
        <v>1248</v>
      </c>
      <c r="E115" s="319">
        <f t="shared" si="1"/>
        <v>0</v>
      </c>
      <c r="F115" s="344"/>
      <c r="G115" s="344"/>
      <c r="H115" s="319">
        <v>0</v>
      </c>
    </row>
    <row r="116" spans="1:8">
      <c r="A116" s="386" t="s">
        <v>1969</v>
      </c>
      <c r="B116" s="793" t="s">
        <v>216</v>
      </c>
      <c r="C116" s="309" t="s">
        <v>1290</v>
      </c>
      <c r="D116" s="311" t="s">
        <v>1248</v>
      </c>
      <c r="E116" s="356"/>
      <c r="F116" s="356"/>
      <c r="G116" s="356"/>
      <c r="H116" s="356">
        <v>0</v>
      </c>
    </row>
    <row r="117" spans="1:8">
      <c r="A117" s="375">
        <v>7</v>
      </c>
      <c r="B117" s="792">
        <v>630100100911000</v>
      </c>
      <c r="C117" s="313" t="s">
        <v>2011</v>
      </c>
      <c r="D117" s="314" t="s">
        <v>1248</v>
      </c>
      <c r="E117" s="319">
        <f t="shared" si="1"/>
        <v>0</v>
      </c>
      <c r="F117" s="344"/>
      <c r="G117" s="344"/>
      <c r="H117" s="319">
        <v>599.41999999999996</v>
      </c>
    </row>
    <row r="118" spans="1:8" ht="24">
      <c r="A118" s="375">
        <v>7</v>
      </c>
      <c r="B118" s="792">
        <v>630100100909000</v>
      </c>
      <c r="C118" s="313" t="s">
        <v>2012</v>
      </c>
      <c r="D118" s="314" t="s">
        <v>1248</v>
      </c>
      <c r="E118" s="319">
        <f t="shared" si="1"/>
        <v>0</v>
      </c>
      <c r="F118" s="344"/>
      <c r="G118" s="344"/>
      <c r="H118" s="319">
        <v>0</v>
      </c>
    </row>
    <row r="119" spans="1:8" ht="25.5">
      <c r="A119" s="386" t="s">
        <v>1967</v>
      </c>
      <c r="B119" s="793" t="s">
        <v>218</v>
      </c>
      <c r="C119" s="309" t="s">
        <v>2013</v>
      </c>
      <c r="D119" s="311"/>
      <c r="E119" s="356"/>
      <c r="F119" s="356"/>
      <c r="G119" s="356"/>
      <c r="H119" s="356">
        <v>0</v>
      </c>
    </row>
    <row r="120" spans="1:8" ht="24">
      <c r="A120" s="375" t="s">
        <v>1969</v>
      </c>
      <c r="B120" s="792">
        <v>630100200000000</v>
      </c>
      <c r="C120" s="313" t="s">
        <v>217</v>
      </c>
      <c r="D120" s="314"/>
      <c r="E120" s="319">
        <f t="shared" si="1"/>
        <v>7006</v>
      </c>
      <c r="F120" s="344">
        <v>7006</v>
      </c>
      <c r="G120" s="344"/>
      <c r="H120" s="319">
        <v>10893</v>
      </c>
    </row>
    <row r="121" spans="1:8" ht="25.5">
      <c r="A121" s="386" t="s">
        <v>1967</v>
      </c>
      <c r="B121" s="793" t="s">
        <v>219</v>
      </c>
      <c r="C121" s="309" t="s">
        <v>1292</v>
      </c>
      <c r="D121" s="311"/>
      <c r="E121" s="356"/>
      <c r="F121" s="356"/>
      <c r="G121" s="356"/>
      <c r="H121" s="356">
        <v>0</v>
      </c>
    </row>
    <row r="122" spans="1:8">
      <c r="A122" s="386" t="s">
        <v>1969</v>
      </c>
      <c r="B122" s="793" t="s">
        <v>220</v>
      </c>
      <c r="C122" s="309" t="s">
        <v>1294</v>
      </c>
      <c r="D122" s="311"/>
      <c r="E122" s="356"/>
      <c r="F122" s="356"/>
      <c r="G122" s="356"/>
      <c r="H122" s="356">
        <v>0</v>
      </c>
    </row>
    <row r="123" spans="1:8">
      <c r="A123" s="375">
        <v>7</v>
      </c>
      <c r="B123" s="792">
        <v>630100300100000</v>
      </c>
      <c r="C123" s="313" t="s">
        <v>221</v>
      </c>
      <c r="D123" s="314"/>
      <c r="E123" s="319">
        <f t="shared" si="1"/>
        <v>0</v>
      </c>
      <c r="F123" s="344"/>
      <c r="G123" s="344"/>
      <c r="H123" s="319">
        <v>0</v>
      </c>
    </row>
    <row r="124" spans="1:8">
      <c r="A124" s="386" t="s">
        <v>1969</v>
      </c>
      <c r="B124" s="793" t="s">
        <v>223</v>
      </c>
      <c r="C124" s="309" t="s">
        <v>1295</v>
      </c>
      <c r="D124" s="311"/>
      <c r="E124" s="356"/>
      <c r="F124" s="356"/>
      <c r="G124" s="356"/>
      <c r="H124" s="356">
        <v>0</v>
      </c>
    </row>
    <row r="125" spans="1:8">
      <c r="A125" s="375">
        <v>7</v>
      </c>
      <c r="B125" s="792">
        <v>630100300150000</v>
      </c>
      <c r="C125" s="313" t="s">
        <v>224</v>
      </c>
      <c r="D125" s="314"/>
      <c r="E125" s="319">
        <f t="shared" si="1"/>
        <v>0</v>
      </c>
      <c r="F125" s="344"/>
      <c r="G125" s="344"/>
      <c r="H125" s="319">
        <v>0</v>
      </c>
    </row>
    <row r="126" spans="1:8">
      <c r="A126" s="386" t="s">
        <v>1969</v>
      </c>
      <c r="B126" s="793" t="s">
        <v>225</v>
      </c>
      <c r="C126" s="309" t="s">
        <v>1296</v>
      </c>
      <c r="D126" s="311"/>
      <c r="E126" s="356"/>
      <c r="F126" s="356"/>
      <c r="G126" s="356"/>
      <c r="H126" s="356">
        <v>0</v>
      </c>
    </row>
    <row r="127" spans="1:8" ht="24">
      <c r="A127" s="375" t="s">
        <v>1970</v>
      </c>
      <c r="B127" s="792">
        <v>630100300160000</v>
      </c>
      <c r="C127" s="313" t="s">
        <v>2014</v>
      </c>
      <c r="D127" s="314"/>
      <c r="E127" s="319">
        <f t="shared" si="1"/>
        <v>0</v>
      </c>
      <c r="F127" s="344"/>
      <c r="G127" s="344"/>
      <c r="H127" s="319">
        <v>0</v>
      </c>
    </row>
    <row r="128" spans="1:8" ht="25.5">
      <c r="A128" s="386" t="s">
        <v>1969</v>
      </c>
      <c r="B128" s="793" t="s">
        <v>226</v>
      </c>
      <c r="C128" s="309" t="s">
        <v>1298</v>
      </c>
      <c r="D128" s="311"/>
      <c r="E128" s="356"/>
      <c r="F128" s="356"/>
      <c r="G128" s="356"/>
      <c r="H128" s="356">
        <v>0</v>
      </c>
    </row>
    <row r="129" spans="1:8" ht="24">
      <c r="A129" s="375" t="s">
        <v>1970</v>
      </c>
      <c r="B129" s="792">
        <v>630100300200000</v>
      </c>
      <c r="C129" s="313" t="s">
        <v>2015</v>
      </c>
      <c r="D129" s="314"/>
      <c r="E129" s="319">
        <f t="shared" si="1"/>
        <v>0</v>
      </c>
      <c r="F129" s="344"/>
      <c r="G129" s="344"/>
      <c r="H129" s="319">
        <v>0</v>
      </c>
    </row>
    <row r="130" spans="1:8">
      <c r="A130" s="386" t="s">
        <v>1969</v>
      </c>
      <c r="B130" s="793" t="s">
        <v>227</v>
      </c>
      <c r="C130" s="309" t="s">
        <v>1299</v>
      </c>
      <c r="D130" s="311"/>
      <c r="E130" s="356"/>
      <c r="F130" s="356"/>
      <c r="G130" s="356"/>
      <c r="H130" s="356">
        <v>0</v>
      </c>
    </row>
    <row r="131" spans="1:8">
      <c r="A131" s="375" t="s">
        <v>1970</v>
      </c>
      <c r="B131" s="792">
        <v>630100300250000</v>
      </c>
      <c r="C131" s="313" t="s">
        <v>2016</v>
      </c>
      <c r="D131" s="314"/>
      <c r="E131" s="319">
        <f t="shared" si="1"/>
        <v>0</v>
      </c>
      <c r="F131" s="344"/>
      <c r="G131" s="344"/>
      <c r="H131" s="319">
        <v>0</v>
      </c>
    </row>
    <row r="132" spans="1:8">
      <c r="A132" s="386" t="s">
        <v>1969</v>
      </c>
      <c r="B132" s="793" t="s">
        <v>229</v>
      </c>
      <c r="C132" s="309" t="s">
        <v>1300</v>
      </c>
      <c r="D132" s="311"/>
      <c r="E132" s="356"/>
      <c r="F132" s="356"/>
      <c r="G132" s="356"/>
      <c r="H132" s="356">
        <v>0</v>
      </c>
    </row>
    <row r="133" spans="1:8">
      <c r="A133" s="375" t="s">
        <v>1970</v>
      </c>
      <c r="B133" s="792">
        <v>630100300300000</v>
      </c>
      <c r="C133" s="313" t="s">
        <v>228</v>
      </c>
      <c r="D133" s="314"/>
      <c r="E133" s="319">
        <f t="shared" si="1"/>
        <v>0</v>
      </c>
      <c r="F133" s="344"/>
      <c r="G133" s="344"/>
      <c r="H133" s="319">
        <v>0</v>
      </c>
    </row>
    <row r="134" spans="1:8">
      <c r="A134" s="386" t="s">
        <v>1969</v>
      </c>
      <c r="B134" s="793" t="s">
        <v>231</v>
      </c>
      <c r="C134" s="309" t="s">
        <v>1301</v>
      </c>
      <c r="D134" s="311"/>
      <c r="E134" s="356"/>
      <c r="F134" s="356"/>
      <c r="G134" s="356"/>
      <c r="H134" s="356">
        <v>0</v>
      </c>
    </row>
    <row r="135" spans="1:8">
      <c r="A135" s="375" t="s">
        <v>1970</v>
      </c>
      <c r="B135" s="792">
        <v>630100300350000</v>
      </c>
      <c r="C135" s="313" t="s">
        <v>230</v>
      </c>
      <c r="D135" s="314"/>
      <c r="E135" s="319">
        <f t="shared" si="1"/>
        <v>0</v>
      </c>
      <c r="F135" s="344"/>
      <c r="G135" s="344"/>
      <c r="H135" s="319">
        <v>0</v>
      </c>
    </row>
    <row r="136" spans="1:8">
      <c r="A136" s="386" t="s">
        <v>1969</v>
      </c>
      <c r="B136" s="793" t="s">
        <v>233</v>
      </c>
      <c r="C136" s="309" t="s">
        <v>1302</v>
      </c>
      <c r="D136" s="311"/>
      <c r="E136" s="356"/>
      <c r="F136" s="356"/>
      <c r="G136" s="356"/>
      <c r="H136" s="356">
        <v>0</v>
      </c>
    </row>
    <row r="137" spans="1:8">
      <c r="A137" s="375" t="s">
        <v>1970</v>
      </c>
      <c r="B137" s="792">
        <v>630100300400000</v>
      </c>
      <c r="C137" s="313" t="s">
        <v>232</v>
      </c>
      <c r="D137" s="314"/>
      <c r="E137" s="319">
        <f t="shared" ref="E137:E198" si="2">+F137+G137</f>
        <v>0</v>
      </c>
      <c r="F137" s="344"/>
      <c r="G137" s="344"/>
      <c r="H137" s="319">
        <v>0</v>
      </c>
    </row>
    <row r="138" spans="1:8">
      <c r="A138" s="386" t="s">
        <v>1969</v>
      </c>
      <c r="B138" s="793" t="s">
        <v>235</v>
      </c>
      <c r="C138" s="309" t="s">
        <v>1303</v>
      </c>
      <c r="D138" s="311"/>
      <c r="E138" s="356"/>
      <c r="F138" s="356"/>
      <c r="G138" s="356"/>
      <c r="H138" s="356">
        <v>0</v>
      </c>
    </row>
    <row r="139" spans="1:8">
      <c r="A139" s="375" t="s">
        <v>1970</v>
      </c>
      <c r="B139" s="792">
        <v>630100300450000</v>
      </c>
      <c r="C139" s="313" t="s">
        <v>234</v>
      </c>
      <c r="D139" s="314"/>
      <c r="E139" s="319">
        <f t="shared" si="2"/>
        <v>0</v>
      </c>
      <c r="F139" s="344"/>
      <c r="G139" s="344"/>
      <c r="H139" s="319">
        <v>0</v>
      </c>
    </row>
    <row r="140" spans="1:8">
      <c r="A140" s="386" t="s">
        <v>1969</v>
      </c>
      <c r="B140" s="793" t="s">
        <v>237</v>
      </c>
      <c r="C140" s="309" t="s">
        <v>1304</v>
      </c>
      <c r="D140" s="311"/>
      <c r="E140" s="356"/>
      <c r="F140" s="356"/>
      <c r="G140" s="356"/>
      <c r="H140" s="356">
        <v>0</v>
      </c>
    </row>
    <row r="141" spans="1:8">
      <c r="A141" s="375" t="s">
        <v>1970</v>
      </c>
      <c r="B141" s="792">
        <v>630100300510000</v>
      </c>
      <c r="C141" s="313" t="s">
        <v>236</v>
      </c>
      <c r="D141" s="314"/>
      <c r="E141" s="319">
        <f t="shared" si="2"/>
        <v>0</v>
      </c>
      <c r="F141" s="344"/>
      <c r="G141" s="344"/>
      <c r="H141" s="319">
        <v>0</v>
      </c>
    </row>
    <row r="142" spans="1:8">
      <c r="A142" s="386" t="s">
        <v>1969</v>
      </c>
      <c r="B142" s="793" t="s">
        <v>239</v>
      </c>
      <c r="C142" s="309" t="s">
        <v>1305</v>
      </c>
      <c r="D142" s="311"/>
      <c r="E142" s="356"/>
      <c r="F142" s="356"/>
      <c r="G142" s="356"/>
      <c r="H142" s="356">
        <v>0</v>
      </c>
    </row>
    <row r="143" spans="1:8">
      <c r="A143" s="375" t="s">
        <v>1970</v>
      </c>
      <c r="B143" s="792">
        <v>630100300520000</v>
      </c>
      <c r="C143" s="313" t="s">
        <v>238</v>
      </c>
      <c r="D143" s="314"/>
      <c r="E143" s="319">
        <f t="shared" si="2"/>
        <v>0</v>
      </c>
      <c r="F143" s="344"/>
      <c r="G143" s="344"/>
      <c r="H143" s="319">
        <v>0</v>
      </c>
    </row>
    <row r="144" spans="1:8">
      <c r="A144" s="386" t="s">
        <v>1969</v>
      </c>
      <c r="B144" s="793" t="s">
        <v>241</v>
      </c>
      <c r="C144" s="309" t="s">
        <v>1306</v>
      </c>
      <c r="D144" s="311"/>
      <c r="E144" s="356"/>
      <c r="F144" s="356"/>
      <c r="G144" s="356"/>
      <c r="H144" s="356">
        <v>0</v>
      </c>
    </row>
    <row r="145" spans="1:8">
      <c r="A145" s="375" t="s">
        <v>1970</v>
      </c>
      <c r="B145" s="792">
        <v>630100300550000</v>
      </c>
      <c r="C145" s="313" t="s">
        <v>240</v>
      </c>
      <c r="D145" s="314"/>
      <c r="E145" s="319">
        <f t="shared" si="2"/>
        <v>0</v>
      </c>
      <c r="F145" s="344"/>
      <c r="G145" s="344"/>
      <c r="H145" s="319">
        <v>0</v>
      </c>
    </row>
    <row r="146" spans="1:8">
      <c r="A146" s="386" t="s">
        <v>1969</v>
      </c>
      <c r="B146" s="793" t="s">
        <v>242</v>
      </c>
      <c r="C146" s="309" t="s">
        <v>1307</v>
      </c>
      <c r="D146" s="311"/>
      <c r="E146" s="356"/>
      <c r="F146" s="356"/>
      <c r="G146" s="356"/>
      <c r="H146" s="356">
        <v>0</v>
      </c>
    </row>
    <row r="147" spans="1:8">
      <c r="A147" s="375" t="s">
        <v>2017</v>
      </c>
      <c r="B147" s="792">
        <v>630100300600000</v>
      </c>
      <c r="C147" s="313" t="s">
        <v>243</v>
      </c>
      <c r="D147" s="314"/>
      <c r="E147" s="319">
        <f t="shared" si="2"/>
        <v>0</v>
      </c>
      <c r="F147" s="344"/>
      <c r="G147" s="344"/>
      <c r="H147" s="319">
        <v>0</v>
      </c>
    </row>
    <row r="148" spans="1:8" ht="25.5">
      <c r="A148" s="386" t="s">
        <v>1969</v>
      </c>
      <c r="B148" s="793" t="s">
        <v>245</v>
      </c>
      <c r="C148" s="309" t="s">
        <v>1308</v>
      </c>
      <c r="D148" s="311"/>
      <c r="E148" s="356"/>
      <c r="F148" s="356"/>
      <c r="G148" s="356"/>
      <c r="H148" s="356">
        <v>0</v>
      </c>
    </row>
    <row r="149" spans="1:8" ht="24">
      <c r="A149" s="375" t="s">
        <v>2017</v>
      </c>
      <c r="B149" s="792">
        <v>630100300610000</v>
      </c>
      <c r="C149" s="313" t="s">
        <v>244</v>
      </c>
      <c r="D149" s="314"/>
      <c r="E149" s="319">
        <f t="shared" si="2"/>
        <v>0</v>
      </c>
      <c r="F149" s="344"/>
      <c r="G149" s="344"/>
      <c r="H149" s="319">
        <v>0</v>
      </c>
    </row>
    <row r="150" spans="1:8" ht="25.5">
      <c r="A150" s="386" t="s">
        <v>1969</v>
      </c>
      <c r="B150" s="793" t="s">
        <v>246</v>
      </c>
      <c r="C150" s="309" t="s">
        <v>1309</v>
      </c>
      <c r="D150" s="311"/>
      <c r="E150" s="356"/>
      <c r="F150" s="356"/>
      <c r="G150" s="356"/>
      <c r="H150" s="356">
        <v>0</v>
      </c>
    </row>
    <row r="151" spans="1:8" ht="25.5">
      <c r="A151" s="386" t="s">
        <v>1970</v>
      </c>
      <c r="B151" s="793" t="s">
        <v>248</v>
      </c>
      <c r="C151" s="309" t="s">
        <v>1310</v>
      </c>
      <c r="D151" s="311"/>
      <c r="E151" s="356"/>
      <c r="F151" s="356"/>
      <c r="G151" s="356"/>
      <c r="H151" s="356">
        <v>0</v>
      </c>
    </row>
    <row r="152" spans="1:8">
      <c r="A152" s="375" t="s">
        <v>2017</v>
      </c>
      <c r="B152" s="792">
        <v>630100300651000</v>
      </c>
      <c r="C152" s="313" t="s">
        <v>247</v>
      </c>
      <c r="D152" s="314"/>
      <c r="E152" s="319">
        <f t="shared" si="2"/>
        <v>0</v>
      </c>
      <c r="F152" s="344"/>
      <c r="G152" s="344"/>
      <c r="H152" s="319">
        <v>0</v>
      </c>
    </row>
    <row r="153" spans="1:8" ht="25.5">
      <c r="A153" s="386" t="s">
        <v>1970</v>
      </c>
      <c r="B153" s="793" t="s">
        <v>250</v>
      </c>
      <c r="C153" s="309" t="s">
        <v>1311</v>
      </c>
      <c r="D153" s="311"/>
      <c r="E153" s="356"/>
      <c r="F153" s="356"/>
      <c r="G153" s="356"/>
      <c r="H153" s="356">
        <v>0</v>
      </c>
    </row>
    <row r="154" spans="1:8">
      <c r="A154" s="375">
        <v>8</v>
      </c>
      <c r="B154" s="792">
        <v>630100300652010</v>
      </c>
      <c r="C154" s="313" t="s">
        <v>2018</v>
      </c>
      <c r="D154" s="314"/>
      <c r="E154" s="319">
        <f t="shared" si="2"/>
        <v>0</v>
      </c>
      <c r="F154" s="344"/>
      <c r="G154" s="344"/>
      <c r="H154" s="319">
        <v>0</v>
      </c>
    </row>
    <row r="155" spans="1:8">
      <c r="A155" s="375">
        <v>8</v>
      </c>
      <c r="B155" s="792">
        <v>630100300652020</v>
      </c>
      <c r="C155" s="313" t="s">
        <v>2019</v>
      </c>
      <c r="D155" s="314"/>
      <c r="E155" s="319">
        <f t="shared" si="2"/>
        <v>0</v>
      </c>
      <c r="F155" s="344"/>
      <c r="G155" s="344"/>
      <c r="H155" s="319">
        <v>0</v>
      </c>
    </row>
    <row r="156" spans="1:8">
      <c r="A156" s="375">
        <v>8</v>
      </c>
      <c r="B156" s="794">
        <v>630100300652030</v>
      </c>
      <c r="C156" s="313" t="s">
        <v>2020</v>
      </c>
      <c r="D156" s="314"/>
      <c r="E156" s="319">
        <f t="shared" si="2"/>
        <v>0</v>
      </c>
      <c r="F156" s="344"/>
      <c r="G156" s="344"/>
      <c r="H156" s="319">
        <v>0</v>
      </c>
    </row>
    <row r="157" spans="1:8" ht="24">
      <c r="A157" s="375">
        <v>8</v>
      </c>
      <c r="B157" s="792">
        <v>630100300652040</v>
      </c>
      <c r="C157" s="313" t="s">
        <v>249</v>
      </c>
      <c r="D157" s="314"/>
      <c r="E157" s="319">
        <f t="shared" si="2"/>
        <v>0</v>
      </c>
      <c r="F157" s="344"/>
      <c r="G157" s="344"/>
      <c r="H157" s="319">
        <v>0</v>
      </c>
    </row>
    <row r="158" spans="1:8" ht="25.5">
      <c r="A158" s="386" t="s">
        <v>1969</v>
      </c>
      <c r="B158" s="793" t="s">
        <v>252</v>
      </c>
      <c r="C158" s="309" t="s">
        <v>1312</v>
      </c>
      <c r="D158" s="311"/>
      <c r="E158" s="356"/>
      <c r="F158" s="356"/>
      <c r="G158" s="356"/>
      <c r="H158" s="356">
        <v>0</v>
      </c>
    </row>
    <row r="159" spans="1:8">
      <c r="A159" s="375" t="s">
        <v>1970</v>
      </c>
      <c r="B159" s="792">
        <v>630100300700000</v>
      </c>
      <c r="C159" s="313" t="s">
        <v>251</v>
      </c>
      <c r="D159" s="314"/>
      <c r="E159" s="319">
        <f t="shared" si="2"/>
        <v>0</v>
      </c>
      <c r="F159" s="344"/>
      <c r="G159" s="344"/>
      <c r="H159" s="319">
        <v>0</v>
      </c>
    </row>
    <row r="160" spans="1:8" ht="25.5">
      <c r="A160" s="386" t="s">
        <v>1969</v>
      </c>
      <c r="B160" s="793" t="s">
        <v>254</v>
      </c>
      <c r="C160" s="309" t="s">
        <v>1313</v>
      </c>
      <c r="D160" s="311"/>
      <c r="E160" s="356"/>
      <c r="F160" s="356"/>
      <c r="G160" s="356"/>
      <c r="H160" s="356">
        <v>0</v>
      </c>
    </row>
    <row r="161" spans="1:8" ht="24">
      <c r="A161" s="375" t="s">
        <v>1970</v>
      </c>
      <c r="B161" s="792">
        <v>630100300800000</v>
      </c>
      <c r="C161" s="313" t="s">
        <v>253</v>
      </c>
      <c r="D161" s="314" t="s">
        <v>1248</v>
      </c>
      <c r="E161" s="319">
        <f t="shared" si="2"/>
        <v>0</v>
      </c>
      <c r="F161" s="344"/>
      <c r="G161" s="344"/>
      <c r="H161" s="319">
        <v>0</v>
      </c>
    </row>
    <row r="162" spans="1:8" ht="25.5">
      <c r="A162" s="386" t="s">
        <v>1969</v>
      </c>
      <c r="B162" s="793" t="s">
        <v>256</v>
      </c>
      <c r="C162" s="309" t="s">
        <v>1314</v>
      </c>
      <c r="D162" s="311"/>
      <c r="E162" s="356"/>
      <c r="F162" s="356"/>
      <c r="G162" s="356"/>
      <c r="H162" s="356">
        <v>0</v>
      </c>
    </row>
    <row r="163" spans="1:8" ht="24">
      <c r="A163" s="375" t="s">
        <v>1970</v>
      </c>
      <c r="B163" s="792">
        <v>630100300900000</v>
      </c>
      <c r="C163" s="313" t="s">
        <v>255</v>
      </c>
      <c r="D163" s="314"/>
      <c r="E163" s="319">
        <f t="shared" si="2"/>
        <v>0</v>
      </c>
      <c r="F163" s="344"/>
      <c r="G163" s="344"/>
      <c r="H163" s="319">
        <v>0</v>
      </c>
    </row>
    <row r="164" spans="1:8" ht="25.5">
      <c r="A164" s="386" t="s">
        <v>1965</v>
      </c>
      <c r="B164" s="793" t="s">
        <v>257</v>
      </c>
      <c r="C164" s="309" t="s">
        <v>2021</v>
      </c>
      <c r="D164" s="311"/>
      <c r="E164" s="356"/>
      <c r="F164" s="356"/>
      <c r="G164" s="356"/>
      <c r="H164" s="356">
        <v>0</v>
      </c>
    </row>
    <row r="165" spans="1:8" ht="25.5">
      <c r="A165" s="386" t="s">
        <v>1967</v>
      </c>
      <c r="B165" s="793" t="s">
        <v>259</v>
      </c>
      <c r="C165" s="309" t="s">
        <v>2022</v>
      </c>
      <c r="D165" s="311"/>
      <c r="E165" s="356"/>
      <c r="F165" s="356"/>
      <c r="G165" s="356"/>
      <c r="H165" s="356">
        <v>0</v>
      </c>
    </row>
    <row r="166" spans="1:8">
      <c r="A166" s="375" t="s">
        <v>1969</v>
      </c>
      <c r="B166" s="792">
        <v>630200100000000</v>
      </c>
      <c r="C166" s="313" t="s">
        <v>258</v>
      </c>
      <c r="D166" s="314"/>
      <c r="E166" s="319">
        <f t="shared" si="2"/>
        <v>0</v>
      </c>
      <c r="F166" s="344"/>
      <c r="G166" s="344"/>
      <c r="H166" s="319">
        <v>0</v>
      </c>
    </row>
    <row r="167" spans="1:8" ht="25.5">
      <c r="A167" s="386" t="s">
        <v>1967</v>
      </c>
      <c r="B167" s="793" t="s">
        <v>261</v>
      </c>
      <c r="C167" s="309" t="s">
        <v>2023</v>
      </c>
      <c r="D167" s="311"/>
      <c r="E167" s="356"/>
      <c r="F167" s="356"/>
      <c r="G167" s="356"/>
      <c r="H167" s="356">
        <v>0</v>
      </c>
    </row>
    <row r="168" spans="1:8">
      <c r="A168" s="375" t="s">
        <v>1969</v>
      </c>
      <c r="B168" s="792">
        <v>630200200000000</v>
      </c>
      <c r="C168" s="313" t="s">
        <v>260</v>
      </c>
      <c r="D168" s="314"/>
      <c r="E168" s="319">
        <f t="shared" si="2"/>
        <v>0</v>
      </c>
      <c r="F168" s="344"/>
      <c r="G168" s="344"/>
      <c r="H168" s="319">
        <v>0</v>
      </c>
    </row>
    <row r="169" spans="1:8" ht="25.5">
      <c r="A169" s="386" t="s">
        <v>1967</v>
      </c>
      <c r="B169" s="793" t="s">
        <v>262</v>
      </c>
      <c r="C169" s="309" t="s">
        <v>2024</v>
      </c>
      <c r="D169" s="311"/>
      <c r="E169" s="356"/>
      <c r="F169" s="356"/>
      <c r="G169" s="356"/>
      <c r="H169" s="356">
        <v>0</v>
      </c>
    </row>
    <row r="170" spans="1:8" ht="24">
      <c r="A170" s="375" t="s">
        <v>1969</v>
      </c>
      <c r="B170" s="792">
        <v>630200250000000</v>
      </c>
      <c r="C170" s="313" t="s">
        <v>2025</v>
      </c>
      <c r="D170" s="314"/>
      <c r="E170" s="319">
        <f t="shared" si="2"/>
        <v>0</v>
      </c>
      <c r="F170" s="344"/>
      <c r="G170" s="344"/>
      <c r="H170" s="319">
        <v>0</v>
      </c>
    </row>
    <row r="171" spans="1:8" ht="25.5">
      <c r="A171" s="386" t="s">
        <v>1967</v>
      </c>
      <c r="B171" s="793" t="s">
        <v>264</v>
      </c>
      <c r="C171" s="309" t="s">
        <v>2026</v>
      </c>
      <c r="D171" s="311"/>
      <c r="E171" s="356"/>
      <c r="F171" s="356"/>
      <c r="G171" s="356"/>
      <c r="H171" s="356">
        <v>0</v>
      </c>
    </row>
    <row r="172" spans="1:8">
      <c r="A172" s="375" t="s">
        <v>1969</v>
      </c>
      <c r="B172" s="792">
        <v>630200300000000</v>
      </c>
      <c r="C172" s="313" t="s">
        <v>263</v>
      </c>
      <c r="D172" s="314"/>
      <c r="E172" s="319">
        <f t="shared" si="2"/>
        <v>0</v>
      </c>
      <c r="F172" s="344"/>
      <c r="G172" s="344"/>
      <c r="H172" s="319">
        <v>0</v>
      </c>
    </row>
    <row r="173" spans="1:8" ht="25.5">
      <c r="A173" s="386" t="s">
        <v>1967</v>
      </c>
      <c r="B173" s="793" t="s">
        <v>266</v>
      </c>
      <c r="C173" s="309" t="s">
        <v>1320</v>
      </c>
      <c r="D173" s="311"/>
      <c r="E173" s="356"/>
      <c r="F173" s="356"/>
      <c r="G173" s="356"/>
      <c r="H173" s="356">
        <v>0</v>
      </c>
    </row>
    <row r="174" spans="1:8" ht="24">
      <c r="A174" s="375" t="s">
        <v>1969</v>
      </c>
      <c r="B174" s="792">
        <v>630200400000000</v>
      </c>
      <c r="C174" s="313" t="s">
        <v>265</v>
      </c>
      <c r="D174" s="314"/>
      <c r="E174" s="319">
        <f t="shared" si="2"/>
        <v>0</v>
      </c>
      <c r="F174" s="344"/>
      <c r="G174" s="344"/>
      <c r="H174" s="319">
        <v>0</v>
      </c>
    </row>
    <row r="175" spans="1:8" ht="25.5">
      <c r="A175" s="386" t="s">
        <v>1965</v>
      </c>
      <c r="B175" s="793" t="s">
        <v>267</v>
      </c>
      <c r="C175" s="309" t="s">
        <v>2027</v>
      </c>
      <c r="D175" s="311"/>
      <c r="E175" s="356"/>
      <c r="F175" s="356"/>
      <c r="G175" s="356"/>
      <c r="H175" s="356">
        <v>0</v>
      </c>
    </row>
    <row r="176" spans="1:8">
      <c r="A176" s="387">
        <v>5</v>
      </c>
      <c r="B176" s="795">
        <v>6303001000000</v>
      </c>
      <c r="C176" s="316" t="s">
        <v>268</v>
      </c>
      <c r="D176" s="317"/>
      <c r="E176" s="320"/>
      <c r="F176" s="345"/>
      <c r="G176" s="345"/>
      <c r="H176" s="320">
        <v>0</v>
      </c>
    </row>
    <row r="177" spans="1:8">
      <c r="A177" s="375" t="s">
        <v>1969</v>
      </c>
      <c r="B177" s="792">
        <v>630300100100000</v>
      </c>
      <c r="C177" s="313" t="s">
        <v>199</v>
      </c>
      <c r="D177" s="314"/>
      <c r="E177" s="319">
        <f t="shared" si="2"/>
        <v>0</v>
      </c>
      <c r="F177" s="344"/>
      <c r="G177" s="344"/>
      <c r="H177" s="319">
        <v>0</v>
      </c>
    </row>
    <row r="178" spans="1:8">
      <c r="A178" s="375" t="s">
        <v>1969</v>
      </c>
      <c r="B178" s="792">
        <v>630300100200000</v>
      </c>
      <c r="C178" s="313" t="s">
        <v>269</v>
      </c>
      <c r="D178" s="314"/>
      <c r="E178" s="319">
        <f t="shared" si="2"/>
        <v>0</v>
      </c>
      <c r="F178" s="344"/>
      <c r="G178" s="344"/>
      <c r="H178" s="319">
        <v>0</v>
      </c>
    </row>
    <row r="179" spans="1:8">
      <c r="A179" s="375" t="s">
        <v>1969</v>
      </c>
      <c r="B179" s="792">
        <v>630300100300000</v>
      </c>
      <c r="C179" s="313" t="s">
        <v>270</v>
      </c>
      <c r="D179" s="314"/>
      <c r="E179" s="319">
        <f t="shared" si="2"/>
        <v>0</v>
      </c>
      <c r="F179" s="344"/>
      <c r="G179" s="344"/>
      <c r="H179" s="319">
        <v>0</v>
      </c>
    </row>
    <row r="180" spans="1:8">
      <c r="A180" s="375" t="s">
        <v>1969</v>
      </c>
      <c r="B180" s="792">
        <v>630300100400000</v>
      </c>
      <c r="C180" s="313" t="s">
        <v>222</v>
      </c>
      <c r="D180" s="314"/>
      <c r="E180" s="319">
        <f t="shared" si="2"/>
        <v>0</v>
      </c>
      <c r="F180" s="344"/>
      <c r="G180" s="344"/>
      <c r="H180" s="319">
        <v>0</v>
      </c>
    </row>
    <row r="181" spans="1:8">
      <c r="A181" s="375" t="s">
        <v>1969</v>
      </c>
      <c r="B181" s="792">
        <v>630300100500000</v>
      </c>
      <c r="C181" s="313" t="s">
        <v>271</v>
      </c>
      <c r="D181" s="314"/>
      <c r="E181" s="319">
        <f t="shared" si="2"/>
        <v>0</v>
      </c>
      <c r="F181" s="344"/>
      <c r="G181" s="344"/>
      <c r="H181" s="319">
        <v>0</v>
      </c>
    </row>
    <row r="182" spans="1:8">
      <c r="A182" s="375" t="s">
        <v>1969</v>
      </c>
      <c r="B182" s="792">
        <v>630300100600000</v>
      </c>
      <c r="C182" s="313" t="s">
        <v>272</v>
      </c>
      <c r="D182" s="314"/>
      <c r="E182" s="319">
        <f t="shared" si="2"/>
        <v>0</v>
      </c>
      <c r="F182" s="344"/>
      <c r="G182" s="344"/>
      <c r="H182" s="319">
        <v>0</v>
      </c>
    </row>
    <row r="183" spans="1:8">
      <c r="A183" s="375" t="s">
        <v>1969</v>
      </c>
      <c r="B183" s="792">
        <v>630300100900000</v>
      </c>
      <c r="C183" s="313" t="s">
        <v>273</v>
      </c>
      <c r="D183" s="314"/>
      <c r="E183" s="319">
        <f t="shared" si="2"/>
        <v>0</v>
      </c>
      <c r="F183" s="344"/>
      <c r="G183" s="344"/>
      <c r="H183" s="319">
        <v>0</v>
      </c>
    </row>
    <row r="184" spans="1:8">
      <c r="A184" s="387">
        <v>5</v>
      </c>
      <c r="B184" s="795">
        <v>6303002000000</v>
      </c>
      <c r="C184" s="316" t="s">
        <v>274</v>
      </c>
      <c r="D184" s="317"/>
      <c r="E184" s="320"/>
      <c r="F184" s="345"/>
      <c r="G184" s="345"/>
      <c r="H184" s="320">
        <v>0</v>
      </c>
    </row>
    <row r="185" spans="1:8">
      <c r="A185" s="375">
        <v>6</v>
      </c>
      <c r="B185" s="792">
        <v>630300200100000</v>
      </c>
      <c r="C185" s="313" t="s">
        <v>275</v>
      </c>
      <c r="D185" s="314"/>
      <c r="E185" s="319">
        <f t="shared" si="2"/>
        <v>0</v>
      </c>
      <c r="F185" s="344"/>
      <c r="G185" s="344"/>
      <c r="H185" s="319">
        <v>0</v>
      </c>
    </row>
    <row r="186" spans="1:8">
      <c r="A186" s="375">
        <v>6</v>
      </c>
      <c r="B186" s="792">
        <v>630300200150000</v>
      </c>
      <c r="C186" s="313" t="s">
        <v>276</v>
      </c>
      <c r="D186" s="314"/>
      <c r="E186" s="319">
        <f t="shared" si="2"/>
        <v>0</v>
      </c>
      <c r="F186" s="344"/>
      <c r="G186" s="344"/>
      <c r="H186" s="319">
        <v>0</v>
      </c>
    </row>
    <row r="187" spans="1:8">
      <c r="A187" s="375">
        <v>6</v>
      </c>
      <c r="B187" s="792">
        <v>630300200200000</v>
      </c>
      <c r="C187" s="313" t="s">
        <v>277</v>
      </c>
      <c r="D187" s="314"/>
      <c r="E187" s="319">
        <f t="shared" si="2"/>
        <v>0</v>
      </c>
      <c r="F187" s="344"/>
      <c r="G187" s="344"/>
      <c r="H187" s="319">
        <v>0</v>
      </c>
    </row>
    <row r="188" spans="1:8">
      <c r="A188" s="375">
        <v>6</v>
      </c>
      <c r="B188" s="792">
        <v>630300200250000</v>
      </c>
      <c r="C188" s="313" t="s">
        <v>278</v>
      </c>
      <c r="D188" s="314"/>
      <c r="E188" s="319">
        <f t="shared" si="2"/>
        <v>0</v>
      </c>
      <c r="F188" s="344"/>
      <c r="G188" s="344"/>
      <c r="H188" s="319">
        <v>0</v>
      </c>
    </row>
    <row r="189" spans="1:8">
      <c r="A189" s="375">
        <v>6</v>
      </c>
      <c r="B189" s="792">
        <v>630300200300000</v>
      </c>
      <c r="C189" s="313" t="s">
        <v>279</v>
      </c>
      <c r="D189" s="314"/>
      <c r="E189" s="319">
        <f t="shared" si="2"/>
        <v>0</v>
      </c>
      <c r="F189" s="344"/>
      <c r="G189" s="344"/>
      <c r="H189" s="319">
        <v>0</v>
      </c>
    </row>
    <row r="190" spans="1:8">
      <c r="A190" s="375">
        <v>6</v>
      </c>
      <c r="B190" s="792">
        <v>630300200350000</v>
      </c>
      <c r="C190" s="313" t="s">
        <v>280</v>
      </c>
      <c r="D190" s="314"/>
      <c r="E190" s="319">
        <f t="shared" si="2"/>
        <v>0</v>
      </c>
      <c r="F190" s="344"/>
      <c r="G190" s="344"/>
      <c r="H190" s="319">
        <v>0</v>
      </c>
    </row>
    <row r="191" spans="1:8">
      <c r="A191" s="375">
        <v>6</v>
      </c>
      <c r="B191" s="792">
        <v>630300200400000</v>
      </c>
      <c r="C191" s="313" t="s">
        <v>281</v>
      </c>
      <c r="D191" s="314"/>
      <c r="E191" s="319">
        <f t="shared" si="2"/>
        <v>0</v>
      </c>
      <c r="F191" s="344"/>
      <c r="G191" s="344"/>
      <c r="H191" s="319">
        <v>0</v>
      </c>
    </row>
    <row r="192" spans="1:8">
      <c r="A192" s="375">
        <v>6</v>
      </c>
      <c r="B192" s="792">
        <v>630300200450000</v>
      </c>
      <c r="C192" s="313" t="s">
        <v>282</v>
      </c>
      <c r="D192" s="314"/>
      <c r="E192" s="319">
        <f t="shared" si="2"/>
        <v>0</v>
      </c>
      <c r="F192" s="344"/>
      <c r="G192" s="344"/>
      <c r="H192" s="319">
        <v>0</v>
      </c>
    </row>
    <row r="193" spans="1:8">
      <c r="A193" s="375">
        <v>6</v>
      </c>
      <c r="B193" s="792">
        <v>630300200500000</v>
      </c>
      <c r="C193" s="313" t="s">
        <v>283</v>
      </c>
      <c r="D193" s="314"/>
      <c r="E193" s="319">
        <f t="shared" si="2"/>
        <v>0</v>
      </c>
      <c r="F193" s="344"/>
      <c r="G193" s="344"/>
      <c r="H193" s="319">
        <v>0</v>
      </c>
    </row>
    <row r="194" spans="1:8">
      <c r="A194" s="375">
        <v>6</v>
      </c>
      <c r="B194" s="792">
        <v>630300200550000</v>
      </c>
      <c r="C194" s="313" t="s">
        <v>284</v>
      </c>
      <c r="D194" s="314"/>
      <c r="E194" s="319">
        <f t="shared" si="2"/>
        <v>0</v>
      </c>
      <c r="F194" s="344"/>
      <c r="G194" s="344"/>
      <c r="H194" s="319">
        <v>0</v>
      </c>
    </row>
    <row r="195" spans="1:8">
      <c r="A195" s="375">
        <v>6</v>
      </c>
      <c r="B195" s="792">
        <v>630300200600000</v>
      </c>
      <c r="C195" s="313" t="s">
        <v>285</v>
      </c>
      <c r="D195" s="314"/>
      <c r="E195" s="319">
        <f t="shared" si="2"/>
        <v>0</v>
      </c>
      <c r="F195" s="344"/>
      <c r="G195" s="344"/>
      <c r="H195" s="319">
        <v>0</v>
      </c>
    </row>
    <row r="196" spans="1:8">
      <c r="A196" s="375">
        <v>6</v>
      </c>
      <c r="B196" s="792">
        <v>630300200650000</v>
      </c>
      <c r="C196" s="313" t="s">
        <v>286</v>
      </c>
      <c r="D196" s="314"/>
      <c r="E196" s="319">
        <f t="shared" si="2"/>
        <v>0</v>
      </c>
      <c r="F196" s="344"/>
      <c r="G196" s="344"/>
      <c r="H196" s="319">
        <v>0</v>
      </c>
    </row>
    <row r="197" spans="1:8">
      <c r="A197" s="375">
        <v>6</v>
      </c>
      <c r="B197" s="792">
        <v>630300200700000</v>
      </c>
      <c r="C197" s="313" t="s">
        <v>287</v>
      </c>
      <c r="D197" s="314"/>
      <c r="E197" s="319">
        <f t="shared" si="2"/>
        <v>0</v>
      </c>
      <c r="F197" s="344"/>
      <c r="G197" s="344"/>
      <c r="H197" s="319">
        <v>0</v>
      </c>
    </row>
    <row r="198" spans="1:8">
      <c r="A198" s="375">
        <v>6</v>
      </c>
      <c r="B198" s="792">
        <v>630300200750000</v>
      </c>
      <c r="C198" s="313" t="s">
        <v>288</v>
      </c>
      <c r="D198" s="314"/>
      <c r="E198" s="319">
        <f t="shared" si="2"/>
        <v>0</v>
      </c>
      <c r="F198" s="344"/>
      <c r="G198" s="344"/>
      <c r="H198" s="319">
        <v>0</v>
      </c>
    </row>
    <row r="199" spans="1:8">
      <c r="A199" s="387">
        <v>6</v>
      </c>
      <c r="B199" s="795">
        <v>6303002008000</v>
      </c>
      <c r="C199" s="316" t="s">
        <v>289</v>
      </c>
      <c r="D199" s="317"/>
      <c r="E199" s="320"/>
      <c r="F199" s="345"/>
      <c r="G199" s="345"/>
      <c r="H199" s="320">
        <v>0</v>
      </c>
    </row>
    <row r="200" spans="1:8">
      <c r="A200" s="375">
        <v>7</v>
      </c>
      <c r="B200" s="792">
        <v>630300200801000</v>
      </c>
      <c r="C200" s="313" t="s">
        <v>290</v>
      </c>
      <c r="D200" s="314"/>
      <c r="E200" s="319">
        <f t="shared" ref="E200:E263" si="3">+F200+G200</f>
        <v>0</v>
      </c>
      <c r="F200" s="344"/>
      <c r="G200" s="344"/>
      <c r="H200" s="319">
        <v>0</v>
      </c>
    </row>
    <row r="201" spans="1:8">
      <c r="A201" s="375">
        <v>7</v>
      </c>
      <c r="B201" s="792">
        <v>630300200802000</v>
      </c>
      <c r="C201" s="313" t="s">
        <v>291</v>
      </c>
      <c r="D201" s="314"/>
      <c r="E201" s="319">
        <f t="shared" si="3"/>
        <v>0</v>
      </c>
      <c r="F201" s="344"/>
      <c r="G201" s="344"/>
      <c r="H201" s="319">
        <v>0</v>
      </c>
    </row>
    <row r="202" spans="1:8">
      <c r="A202" s="375">
        <v>6</v>
      </c>
      <c r="B202" s="792">
        <v>630300200900000</v>
      </c>
      <c r="C202" s="313" t="s">
        <v>292</v>
      </c>
      <c r="D202" s="314"/>
      <c r="E202" s="319">
        <f t="shared" si="3"/>
        <v>0</v>
      </c>
      <c r="F202" s="344"/>
      <c r="G202" s="344"/>
      <c r="H202" s="319">
        <v>0</v>
      </c>
    </row>
    <row r="203" spans="1:8">
      <c r="A203" s="375">
        <v>5</v>
      </c>
      <c r="B203" s="792">
        <v>630300300000000</v>
      </c>
      <c r="C203" s="313" t="s">
        <v>2028</v>
      </c>
      <c r="D203" s="314"/>
      <c r="E203" s="319">
        <f t="shared" si="3"/>
        <v>0</v>
      </c>
      <c r="F203" s="344"/>
      <c r="G203" s="344"/>
      <c r="H203" s="319">
        <v>0</v>
      </c>
    </row>
    <row r="204" spans="1:8">
      <c r="A204" s="375">
        <v>5</v>
      </c>
      <c r="B204" s="792">
        <v>630300400000000</v>
      </c>
      <c r="C204" s="313" t="s">
        <v>293</v>
      </c>
      <c r="D204" s="314"/>
      <c r="E204" s="319">
        <f t="shared" si="3"/>
        <v>0</v>
      </c>
      <c r="F204" s="344"/>
      <c r="G204" s="344"/>
      <c r="H204" s="319">
        <v>61499</v>
      </c>
    </row>
    <row r="205" spans="1:8">
      <c r="A205" s="375">
        <v>5</v>
      </c>
      <c r="B205" s="792">
        <v>630300500000000</v>
      </c>
      <c r="C205" s="313" t="s">
        <v>294</v>
      </c>
      <c r="D205" s="314"/>
      <c r="E205" s="319">
        <f t="shared" si="3"/>
        <v>0</v>
      </c>
      <c r="F205" s="344"/>
      <c r="G205" s="344"/>
      <c r="H205" s="319">
        <v>0</v>
      </c>
    </row>
    <row r="206" spans="1:8">
      <c r="A206" s="375">
        <v>5</v>
      </c>
      <c r="B206" s="792">
        <v>630300600000000</v>
      </c>
      <c r="C206" s="313" t="s">
        <v>295</v>
      </c>
      <c r="D206" s="314"/>
      <c r="E206" s="319">
        <f t="shared" si="3"/>
        <v>0</v>
      </c>
      <c r="F206" s="344"/>
      <c r="G206" s="344"/>
      <c r="H206" s="319">
        <v>0</v>
      </c>
    </row>
    <row r="207" spans="1:8">
      <c r="A207" s="375">
        <v>5</v>
      </c>
      <c r="B207" s="792">
        <v>630300700000000</v>
      </c>
      <c r="C207" s="313" t="s">
        <v>296</v>
      </c>
      <c r="D207" s="314"/>
      <c r="E207" s="319">
        <f t="shared" si="3"/>
        <v>223800</v>
      </c>
      <c r="F207" s="344">
        <v>223800</v>
      </c>
      <c r="G207" s="344"/>
      <c r="H207" s="319">
        <v>161102</v>
      </c>
    </row>
    <row r="208" spans="1:8">
      <c r="A208" s="375">
        <v>5</v>
      </c>
      <c r="B208" s="792">
        <v>630300800000000</v>
      </c>
      <c r="C208" s="313" t="s">
        <v>297</v>
      </c>
      <c r="D208" s="314"/>
      <c r="E208" s="319">
        <f t="shared" si="3"/>
        <v>0</v>
      </c>
      <c r="F208" s="344"/>
      <c r="G208" s="344"/>
      <c r="H208" s="319">
        <v>0</v>
      </c>
    </row>
    <row r="209" spans="1:8">
      <c r="A209" s="387">
        <v>5</v>
      </c>
      <c r="B209" s="795">
        <v>6303009000000</v>
      </c>
      <c r="C209" s="316" t="s">
        <v>298</v>
      </c>
      <c r="D209" s="317"/>
      <c r="E209" s="320"/>
      <c r="F209" s="345"/>
      <c r="G209" s="345"/>
      <c r="H209" s="320">
        <v>0</v>
      </c>
    </row>
    <row r="210" spans="1:8">
      <c r="A210" s="375">
        <v>6</v>
      </c>
      <c r="B210" s="792">
        <v>630300900100000</v>
      </c>
      <c r="C210" s="313" t="s">
        <v>299</v>
      </c>
      <c r="D210" s="314"/>
      <c r="E210" s="319">
        <f t="shared" si="3"/>
        <v>0</v>
      </c>
      <c r="F210" s="344"/>
      <c r="G210" s="344"/>
      <c r="H210" s="319">
        <v>0</v>
      </c>
    </row>
    <row r="211" spans="1:8">
      <c r="A211" s="375">
        <v>6</v>
      </c>
      <c r="B211" s="792">
        <v>630300900900000</v>
      </c>
      <c r="C211" s="313" t="s">
        <v>300</v>
      </c>
      <c r="D211" s="314"/>
      <c r="E211" s="319">
        <f t="shared" si="3"/>
        <v>0</v>
      </c>
      <c r="F211" s="344"/>
      <c r="G211" s="344"/>
      <c r="H211" s="319">
        <v>0</v>
      </c>
    </row>
    <row r="212" spans="1:8">
      <c r="A212" s="386" t="s">
        <v>1965</v>
      </c>
      <c r="B212" s="793" t="s">
        <v>1322</v>
      </c>
      <c r="C212" s="309" t="s">
        <v>2029</v>
      </c>
      <c r="D212" s="311"/>
      <c r="E212" s="356"/>
      <c r="F212" s="356"/>
      <c r="G212" s="356"/>
      <c r="H212" s="356">
        <v>0</v>
      </c>
    </row>
    <row r="213" spans="1:8">
      <c r="A213" s="386" t="s">
        <v>1967</v>
      </c>
      <c r="B213" s="793" t="s">
        <v>302</v>
      </c>
      <c r="C213" s="309" t="s">
        <v>2030</v>
      </c>
      <c r="D213" s="311"/>
      <c r="E213" s="356"/>
      <c r="F213" s="356"/>
      <c r="G213" s="356"/>
      <c r="H213" s="356">
        <v>0</v>
      </c>
    </row>
    <row r="214" spans="1:8">
      <c r="A214" s="375" t="s">
        <v>1969</v>
      </c>
      <c r="B214" s="792">
        <v>630400100000000</v>
      </c>
      <c r="C214" s="313" t="s">
        <v>301</v>
      </c>
      <c r="D214" s="314"/>
      <c r="E214" s="319">
        <f t="shared" si="3"/>
        <v>0</v>
      </c>
      <c r="F214" s="344"/>
      <c r="G214" s="344"/>
      <c r="H214" s="319">
        <v>0</v>
      </c>
    </row>
    <row r="215" spans="1:8">
      <c r="A215" s="386" t="s">
        <v>1967</v>
      </c>
      <c r="B215" s="793" t="s">
        <v>304</v>
      </c>
      <c r="C215" s="309" t="s">
        <v>2031</v>
      </c>
      <c r="D215" s="311"/>
      <c r="E215" s="356"/>
      <c r="F215" s="356"/>
      <c r="G215" s="356"/>
      <c r="H215" s="356">
        <v>0</v>
      </c>
    </row>
    <row r="216" spans="1:8">
      <c r="A216" s="375" t="s">
        <v>1969</v>
      </c>
      <c r="B216" s="792">
        <v>630400200000000</v>
      </c>
      <c r="C216" s="313" t="s">
        <v>303</v>
      </c>
      <c r="D216" s="314"/>
      <c r="E216" s="319">
        <f t="shared" si="3"/>
        <v>0</v>
      </c>
      <c r="F216" s="344"/>
      <c r="G216" s="344"/>
      <c r="H216" s="319">
        <v>0</v>
      </c>
    </row>
    <row r="217" spans="1:8">
      <c r="A217" s="386" t="s">
        <v>1967</v>
      </c>
      <c r="B217" s="793" t="s">
        <v>306</v>
      </c>
      <c r="C217" s="309" t="s">
        <v>2032</v>
      </c>
      <c r="D217" s="311"/>
      <c r="E217" s="356"/>
      <c r="F217" s="356"/>
      <c r="G217" s="356"/>
      <c r="H217" s="356">
        <v>0</v>
      </c>
    </row>
    <row r="218" spans="1:8">
      <c r="A218" s="375" t="s">
        <v>1969</v>
      </c>
      <c r="B218" s="792">
        <v>630400300000000</v>
      </c>
      <c r="C218" s="313" t="s">
        <v>305</v>
      </c>
      <c r="D218" s="314"/>
      <c r="E218" s="319">
        <f t="shared" si="3"/>
        <v>0</v>
      </c>
      <c r="F218" s="344"/>
      <c r="G218" s="344"/>
      <c r="H218" s="319">
        <v>0</v>
      </c>
    </row>
    <row r="219" spans="1:8" ht="25.5">
      <c r="A219" s="386" t="s">
        <v>1967</v>
      </c>
      <c r="B219" s="793" t="s">
        <v>308</v>
      </c>
      <c r="C219" s="309" t="s">
        <v>2033</v>
      </c>
      <c r="D219" s="311"/>
      <c r="E219" s="356"/>
      <c r="F219" s="356"/>
      <c r="G219" s="356"/>
      <c r="H219" s="356">
        <v>0</v>
      </c>
    </row>
    <row r="220" spans="1:8" ht="24">
      <c r="A220" s="375" t="s">
        <v>1969</v>
      </c>
      <c r="B220" s="792">
        <v>630400400000000</v>
      </c>
      <c r="C220" s="313" t="s">
        <v>307</v>
      </c>
      <c r="D220" s="314"/>
      <c r="E220" s="319">
        <f t="shared" si="3"/>
        <v>0</v>
      </c>
      <c r="F220" s="344"/>
      <c r="G220" s="344"/>
      <c r="H220" s="319">
        <v>0</v>
      </c>
    </row>
    <row r="221" spans="1:8" ht="25.5">
      <c r="A221" s="386" t="s">
        <v>1967</v>
      </c>
      <c r="B221" s="793" t="s">
        <v>310</v>
      </c>
      <c r="C221" s="309" t="s">
        <v>2034</v>
      </c>
      <c r="D221" s="311" t="s">
        <v>1248</v>
      </c>
      <c r="E221" s="356"/>
      <c r="F221" s="356"/>
      <c r="G221" s="356"/>
      <c r="H221" s="356">
        <v>0</v>
      </c>
    </row>
    <row r="222" spans="1:8" ht="24">
      <c r="A222" s="375" t="s">
        <v>1969</v>
      </c>
      <c r="B222" s="792">
        <v>630400500000000</v>
      </c>
      <c r="C222" s="313" t="s">
        <v>309</v>
      </c>
      <c r="D222" s="314" t="s">
        <v>1248</v>
      </c>
      <c r="E222" s="319">
        <f t="shared" si="3"/>
        <v>0</v>
      </c>
      <c r="F222" s="344"/>
      <c r="G222" s="344"/>
      <c r="H222" s="319">
        <v>0</v>
      </c>
    </row>
    <row r="223" spans="1:8">
      <c r="A223" s="386" t="s">
        <v>1967</v>
      </c>
      <c r="B223" s="793" t="s">
        <v>312</v>
      </c>
      <c r="C223" s="309" t="s">
        <v>2035</v>
      </c>
      <c r="D223" s="311"/>
      <c r="E223" s="356"/>
      <c r="F223" s="356"/>
      <c r="G223" s="356"/>
      <c r="H223" s="356">
        <v>0</v>
      </c>
    </row>
    <row r="224" spans="1:8">
      <c r="A224" s="375" t="s">
        <v>1969</v>
      </c>
      <c r="B224" s="792">
        <v>630400600000000</v>
      </c>
      <c r="C224" s="313" t="s">
        <v>311</v>
      </c>
      <c r="D224" s="314"/>
      <c r="E224" s="319">
        <f t="shared" si="3"/>
        <v>0</v>
      </c>
      <c r="F224" s="344"/>
      <c r="G224" s="344"/>
      <c r="H224" s="319">
        <v>0</v>
      </c>
    </row>
    <row r="225" spans="1:188" ht="25.5">
      <c r="A225" s="386" t="s">
        <v>1967</v>
      </c>
      <c r="B225" s="793" t="s">
        <v>314</v>
      </c>
      <c r="C225" s="309" t="s">
        <v>2036</v>
      </c>
      <c r="D225" s="311" t="s">
        <v>1248</v>
      </c>
      <c r="E225" s="356"/>
      <c r="F225" s="356"/>
      <c r="G225" s="356"/>
      <c r="H225" s="356">
        <v>0</v>
      </c>
    </row>
    <row r="226" spans="1:188" ht="24">
      <c r="A226" s="375" t="s">
        <v>1969</v>
      </c>
      <c r="B226" s="792">
        <v>630400700000000</v>
      </c>
      <c r="C226" s="313" t="s">
        <v>313</v>
      </c>
      <c r="D226" s="314" t="s">
        <v>1248</v>
      </c>
      <c r="E226" s="319">
        <f t="shared" si="3"/>
        <v>0</v>
      </c>
      <c r="F226" s="344"/>
      <c r="G226" s="344"/>
      <c r="H226" s="319">
        <v>0</v>
      </c>
    </row>
    <row r="227" spans="1:188">
      <c r="A227" s="386" t="s">
        <v>1963</v>
      </c>
      <c r="B227" s="793" t="s">
        <v>1331</v>
      </c>
      <c r="C227" s="309" t="s">
        <v>1332</v>
      </c>
      <c r="D227" s="311"/>
      <c r="E227" s="356"/>
      <c r="F227" s="356"/>
      <c r="G227" s="356"/>
      <c r="H227" s="356">
        <v>0</v>
      </c>
    </row>
    <row r="228" spans="1:188">
      <c r="A228" s="386" t="s">
        <v>1965</v>
      </c>
      <c r="B228" s="793" t="s">
        <v>316</v>
      </c>
      <c r="C228" s="309" t="s">
        <v>1333</v>
      </c>
      <c r="D228" s="311"/>
      <c r="E228" s="356"/>
      <c r="F228" s="356"/>
      <c r="G228" s="356"/>
      <c r="H228" s="356">
        <v>0</v>
      </c>
    </row>
    <row r="229" spans="1:188">
      <c r="A229" s="375" t="s">
        <v>1967</v>
      </c>
      <c r="B229" s="792">
        <v>640100000000000</v>
      </c>
      <c r="C229" s="313" t="s">
        <v>315</v>
      </c>
      <c r="D229" s="314"/>
      <c r="E229" s="319">
        <f t="shared" si="3"/>
        <v>193021.49</v>
      </c>
      <c r="F229" s="344">
        <v>193021.49</v>
      </c>
      <c r="G229" s="344"/>
      <c r="H229" s="319">
        <v>1106.94</v>
      </c>
    </row>
    <row r="230" spans="1:188">
      <c r="A230" s="386" t="s">
        <v>1965</v>
      </c>
      <c r="B230" s="793" t="s">
        <v>1334</v>
      </c>
      <c r="C230" s="309" t="s">
        <v>1335</v>
      </c>
      <c r="D230" s="311"/>
      <c r="E230" s="356"/>
      <c r="F230" s="356"/>
      <c r="G230" s="356"/>
      <c r="H230" s="356">
        <v>0</v>
      </c>
    </row>
    <row r="231" spans="1:188" ht="25.5">
      <c r="A231" s="386" t="s">
        <v>1967</v>
      </c>
      <c r="B231" s="793" t="s">
        <v>318</v>
      </c>
      <c r="C231" s="309" t="s">
        <v>1336</v>
      </c>
      <c r="D231" s="311"/>
      <c r="E231" s="356"/>
      <c r="F231" s="356"/>
      <c r="G231" s="356"/>
      <c r="H231" s="356">
        <v>0</v>
      </c>
    </row>
    <row r="232" spans="1:188" ht="24">
      <c r="A232" s="375" t="s">
        <v>1969</v>
      </c>
      <c r="B232" s="792">
        <v>640200100000000</v>
      </c>
      <c r="C232" s="313" t="s">
        <v>317</v>
      </c>
      <c r="D232" s="314"/>
      <c r="E232" s="319">
        <f t="shared" si="3"/>
        <v>0</v>
      </c>
      <c r="F232" s="344"/>
      <c r="G232" s="344"/>
      <c r="H232" s="319">
        <v>0</v>
      </c>
    </row>
    <row r="233" spans="1:188">
      <c r="A233" s="386" t="s">
        <v>1967</v>
      </c>
      <c r="B233" s="793" t="s">
        <v>320</v>
      </c>
      <c r="C233" s="309" t="s">
        <v>1337</v>
      </c>
      <c r="D233" s="311"/>
      <c r="E233" s="356"/>
      <c r="F233" s="356"/>
      <c r="G233" s="356"/>
      <c r="H233" s="356">
        <v>0</v>
      </c>
    </row>
    <row r="234" spans="1:188">
      <c r="A234" s="375" t="s">
        <v>1969</v>
      </c>
      <c r="B234" s="792">
        <v>640200200000000</v>
      </c>
      <c r="C234" s="313" t="s">
        <v>319</v>
      </c>
      <c r="D234" s="314"/>
      <c r="E234" s="319">
        <f t="shared" si="3"/>
        <v>0</v>
      </c>
      <c r="F234" s="344"/>
      <c r="G234" s="344"/>
      <c r="H234" s="319">
        <v>0</v>
      </c>
    </row>
    <row r="235" spans="1:188">
      <c r="A235" s="386" t="s">
        <v>1965</v>
      </c>
      <c r="B235" s="793" t="s">
        <v>1338</v>
      </c>
      <c r="C235" s="309" t="s">
        <v>1339</v>
      </c>
      <c r="D235" s="311" t="s">
        <v>1248</v>
      </c>
      <c r="E235" s="356"/>
      <c r="F235" s="356"/>
      <c r="G235" s="356"/>
      <c r="H235" s="356">
        <v>0</v>
      </c>
    </row>
    <row r="236" spans="1:188" ht="25.5">
      <c r="A236" s="386" t="s">
        <v>1967</v>
      </c>
      <c r="B236" s="793" t="s">
        <v>322</v>
      </c>
      <c r="C236" s="309" t="s">
        <v>1340</v>
      </c>
      <c r="D236" s="311" t="s">
        <v>1248</v>
      </c>
      <c r="E236" s="356"/>
      <c r="F236" s="356"/>
      <c r="G236" s="356"/>
      <c r="H236" s="356">
        <v>0</v>
      </c>
    </row>
    <row r="237" spans="1:188" ht="24">
      <c r="A237" s="375">
        <v>6</v>
      </c>
      <c r="B237" s="792">
        <v>640300100000000</v>
      </c>
      <c r="C237" s="313" t="s">
        <v>321</v>
      </c>
      <c r="D237" s="314" t="s">
        <v>1248</v>
      </c>
      <c r="E237" s="319">
        <f t="shared" si="3"/>
        <v>0</v>
      </c>
      <c r="F237" s="344"/>
      <c r="G237" s="344"/>
      <c r="H237" s="319">
        <v>45358.65</v>
      </c>
    </row>
    <row r="238" spans="1:188" ht="25.5">
      <c r="A238" s="386" t="s">
        <v>1967</v>
      </c>
      <c r="B238" s="793" t="s">
        <v>324</v>
      </c>
      <c r="C238" s="309" t="s">
        <v>1341</v>
      </c>
      <c r="D238" s="311" t="s">
        <v>1248</v>
      </c>
      <c r="E238" s="356"/>
      <c r="F238" s="356"/>
      <c r="G238" s="356"/>
      <c r="H238" s="356">
        <v>0</v>
      </c>
    </row>
    <row r="239" spans="1:188">
      <c r="A239" s="375" t="s">
        <v>1969</v>
      </c>
      <c r="B239" s="792">
        <v>640300200000000</v>
      </c>
      <c r="C239" s="313" t="s">
        <v>323</v>
      </c>
      <c r="D239" s="314" t="s">
        <v>1248</v>
      </c>
      <c r="E239" s="319">
        <f t="shared" si="3"/>
        <v>464729659.75</v>
      </c>
      <c r="F239" s="344">
        <v>464729659.75</v>
      </c>
      <c r="G239" s="344"/>
      <c r="H239" s="319">
        <v>431217548.94999999</v>
      </c>
    </row>
    <row r="240" spans="1:188" ht="25.5">
      <c r="A240" s="386" t="s">
        <v>1967</v>
      </c>
      <c r="B240" s="793" t="s">
        <v>325</v>
      </c>
      <c r="C240" s="309" t="s">
        <v>1342</v>
      </c>
      <c r="D240" s="311" t="s">
        <v>1248</v>
      </c>
      <c r="E240" s="356"/>
      <c r="F240" s="356"/>
      <c r="G240" s="356"/>
      <c r="H240" s="356">
        <v>0</v>
      </c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</row>
    <row r="241" spans="1:188">
      <c r="A241" s="375">
        <v>6</v>
      </c>
      <c r="B241" s="792">
        <v>640300300100000</v>
      </c>
      <c r="C241" s="313" t="s">
        <v>2037</v>
      </c>
      <c r="D241" s="314" t="s">
        <v>1248</v>
      </c>
      <c r="E241" s="319">
        <f t="shared" si="3"/>
        <v>11192893</v>
      </c>
      <c r="F241" s="344">
        <v>11192893</v>
      </c>
      <c r="G241" s="344"/>
      <c r="H241" s="319">
        <v>8498932.5800000001</v>
      </c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</row>
    <row r="242" spans="1:188">
      <c r="A242" s="375">
        <v>6</v>
      </c>
      <c r="B242" s="792">
        <v>640300300200000</v>
      </c>
      <c r="C242" s="313" t="s">
        <v>2038</v>
      </c>
      <c r="D242" s="314" t="s">
        <v>1248</v>
      </c>
      <c r="E242" s="319">
        <f t="shared" si="3"/>
        <v>3467.78</v>
      </c>
      <c r="F242" s="344">
        <v>3467.78</v>
      </c>
      <c r="G242" s="344"/>
      <c r="H242" s="319">
        <v>8520</v>
      </c>
    </row>
    <row r="243" spans="1:188">
      <c r="A243" s="375">
        <v>6</v>
      </c>
      <c r="B243" s="792">
        <v>640300300900000</v>
      </c>
      <c r="C243" s="313" t="s">
        <v>2039</v>
      </c>
      <c r="D243" s="314" t="s">
        <v>1248</v>
      </c>
      <c r="E243" s="319">
        <f t="shared" si="3"/>
        <v>1743553.36</v>
      </c>
      <c r="F243" s="344">
        <v>1743553.36</v>
      </c>
      <c r="G243" s="344"/>
      <c r="H243" s="319">
        <v>1767161.44</v>
      </c>
      <c r="I243" s="46"/>
      <c r="J243" s="803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</row>
    <row r="244" spans="1:188">
      <c r="A244" s="386" t="s">
        <v>1967</v>
      </c>
      <c r="B244" s="793" t="s">
        <v>327</v>
      </c>
      <c r="C244" s="309" t="s">
        <v>1343</v>
      </c>
      <c r="D244" s="311" t="s">
        <v>1248</v>
      </c>
      <c r="E244" s="356"/>
      <c r="F244" s="356"/>
      <c r="G244" s="356"/>
      <c r="H244" s="356">
        <v>0</v>
      </c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</row>
    <row r="245" spans="1:188">
      <c r="A245" s="375" t="s">
        <v>1969</v>
      </c>
      <c r="B245" s="792">
        <v>640300400000000</v>
      </c>
      <c r="C245" s="313" t="s">
        <v>326</v>
      </c>
      <c r="D245" s="314" t="s">
        <v>1248</v>
      </c>
      <c r="E245" s="319">
        <f t="shared" si="3"/>
        <v>0</v>
      </c>
      <c r="F245" s="344"/>
      <c r="G245" s="344"/>
      <c r="H245" s="319">
        <v>0</v>
      </c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</row>
    <row r="246" spans="1:188">
      <c r="A246" s="386" t="s">
        <v>1965</v>
      </c>
      <c r="B246" s="793" t="s">
        <v>328</v>
      </c>
      <c r="C246" s="309" t="s">
        <v>1344</v>
      </c>
      <c r="D246" s="311"/>
      <c r="E246" s="356"/>
      <c r="F246" s="356"/>
      <c r="G246" s="356"/>
      <c r="H246" s="356">
        <v>0</v>
      </c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</row>
    <row r="247" spans="1:188" ht="25.5">
      <c r="A247" s="386" t="s">
        <v>1967</v>
      </c>
      <c r="B247" s="793" t="s">
        <v>330</v>
      </c>
      <c r="C247" s="309" t="s">
        <v>1345</v>
      </c>
      <c r="D247" s="311"/>
      <c r="E247" s="356"/>
      <c r="F247" s="356"/>
      <c r="G247" s="356"/>
      <c r="H247" s="356">
        <v>0</v>
      </c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</row>
    <row r="248" spans="1:188" ht="24">
      <c r="A248" s="375" t="s">
        <v>1969</v>
      </c>
      <c r="B248" s="792">
        <v>640400100000000</v>
      </c>
      <c r="C248" s="313" t="s">
        <v>329</v>
      </c>
      <c r="D248" s="314"/>
      <c r="E248" s="319">
        <f t="shared" si="3"/>
        <v>233122.02</v>
      </c>
      <c r="F248" s="344">
        <v>233122.02</v>
      </c>
      <c r="G248" s="344"/>
      <c r="H248" s="319">
        <v>257537.95</v>
      </c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</row>
    <row r="249" spans="1:188">
      <c r="A249" s="386" t="s">
        <v>1967</v>
      </c>
      <c r="B249" s="793" t="s">
        <v>332</v>
      </c>
      <c r="C249" s="309" t="s">
        <v>1346</v>
      </c>
      <c r="D249" s="311"/>
      <c r="E249" s="356"/>
      <c r="F249" s="356"/>
      <c r="G249" s="356"/>
      <c r="H249" s="356">
        <v>0</v>
      </c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</row>
    <row r="250" spans="1:188">
      <c r="A250" s="375" t="s">
        <v>1969</v>
      </c>
      <c r="B250" s="792">
        <v>640400200000000</v>
      </c>
      <c r="C250" s="313" t="s">
        <v>331</v>
      </c>
      <c r="D250" s="314"/>
      <c r="E250" s="319">
        <f t="shared" si="3"/>
        <v>339043.63</v>
      </c>
      <c r="F250" s="344">
        <v>339043.63</v>
      </c>
      <c r="G250" s="344"/>
      <c r="H250" s="319">
        <v>420908.24</v>
      </c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</row>
    <row r="251" spans="1:188">
      <c r="A251" s="386" t="s">
        <v>1967</v>
      </c>
      <c r="B251" s="793" t="s">
        <v>334</v>
      </c>
      <c r="C251" s="309" t="s">
        <v>1347</v>
      </c>
      <c r="D251" s="311"/>
      <c r="E251" s="356"/>
      <c r="F251" s="356"/>
      <c r="G251" s="356"/>
      <c r="H251" s="356">
        <v>0</v>
      </c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</row>
    <row r="252" spans="1:188">
      <c r="A252" s="375" t="s">
        <v>1969</v>
      </c>
      <c r="B252" s="792">
        <v>640400300100000</v>
      </c>
      <c r="C252" s="313" t="s">
        <v>335</v>
      </c>
      <c r="D252" s="314"/>
      <c r="E252" s="319">
        <f t="shared" si="3"/>
        <v>0</v>
      </c>
      <c r="F252" s="344"/>
      <c r="G252" s="344"/>
      <c r="H252" s="319">
        <v>0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</row>
    <row r="253" spans="1:188">
      <c r="A253" s="375" t="s">
        <v>1969</v>
      </c>
      <c r="B253" s="792">
        <v>640400300200000</v>
      </c>
      <c r="C253" s="313" t="s">
        <v>336</v>
      </c>
      <c r="D253" s="314"/>
      <c r="E253" s="319">
        <f t="shared" si="3"/>
        <v>0</v>
      </c>
      <c r="F253" s="344"/>
      <c r="G253" s="344"/>
      <c r="H253" s="319">
        <v>0</v>
      </c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</row>
    <row r="254" spans="1:188">
      <c r="A254" s="375" t="s">
        <v>1969</v>
      </c>
      <c r="B254" s="792">
        <v>640400300300000</v>
      </c>
      <c r="C254" s="313" t="s">
        <v>337</v>
      </c>
      <c r="D254" s="314"/>
      <c r="E254" s="319">
        <f t="shared" si="3"/>
        <v>0</v>
      </c>
      <c r="F254" s="344"/>
      <c r="G254" s="344"/>
      <c r="H254" s="319">
        <v>0</v>
      </c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</row>
    <row r="255" spans="1:188">
      <c r="A255" s="375" t="s">
        <v>1969</v>
      </c>
      <c r="B255" s="792">
        <v>640400300400000</v>
      </c>
      <c r="C255" s="313" t="s">
        <v>338</v>
      </c>
      <c r="D255" s="314"/>
      <c r="E255" s="319">
        <f t="shared" si="3"/>
        <v>0</v>
      </c>
      <c r="F255" s="344"/>
      <c r="G255" s="344"/>
      <c r="H255" s="319">
        <v>0</v>
      </c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</row>
    <row r="256" spans="1:188">
      <c r="A256" s="375" t="s">
        <v>1969</v>
      </c>
      <c r="B256" s="792">
        <v>640400300500000</v>
      </c>
      <c r="C256" s="313" t="s">
        <v>339</v>
      </c>
      <c r="D256" s="314"/>
      <c r="E256" s="319">
        <f t="shared" si="3"/>
        <v>9282</v>
      </c>
      <c r="F256" s="344">
        <v>9282</v>
      </c>
      <c r="G256" s="344"/>
      <c r="H256" s="319">
        <v>0</v>
      </c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</row>
    <row r="257" spans="1:188">
      <c r="A257" s="375" t="s">
        <v>1969</v>
      </c>
      <c r="B257" s="792">
        <v>640400300900000</v>
      </c>
      <c r="C257" s="313" t="s">
        <v>333</v>
      </c>
      <c r="D257" s="314"/>
      <c r="E257" s="319">
        <f t="shared" si="3"/>
        <v>1421.32</v>
      </c>
      <c r="F257" s="344">
        <v>1421.32</v>
      </c>
      <c r="G257" s="344"/>
      <c r="H257" s="319">
        <v>2719.09</v>
      </c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</row>
    <row r="258" spans="1:188">
      <c r="A258" s="386" t="s">
        <v>1965</v>
      </c>
      <c r="B258" s="793" t="s">
        <v>340</v>
      </c>
      <c r="C258" s="309" t="s">
        <v>1348</v>
      </c>
      <c r="D258" s="311"/>
      <c r="E258" s="356"/>
      <c r="F258" s="356"/>
      <c r="G258" s="356"/>
      <c r="H258" s="356">
        <v>0</v>
      </c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</row>
    <row r="259" spans="1:188">
      <c r="A259" s="386" t="s">
        <v>1967</v>
      </c>
      <c r="B259" s="793" t="s">
        <v>341</v>
      </c>
      <c r="C259" s="309" t="s">
        <v>1349</v>
      </c>
      <c r="D259" s="311"/>
      <c r="E259" s="356"/>
      <c r="F259" s="356"/>
      <c r="G259" s="356"/>
      <c r="H259" s="356">
        <v>0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</row>
    <row r="260" spans="1:188" ht="25.5">
      <c r="A260" s="386" t="s">
        <v>1969</v>
      </c>
      <c r="B260" s="793" t="s">
        <v>343</v>
      </c>
      <c r="C260" s="309" t="s">
        <v>1350</v>
      </c>
      <c r="D260" s="311"/>
      <c r="E260" s="356"/>
      <c r="F260" s="356"/>
      <c r="G260" s="356"/>
      <c r="H260" s="356">
        <v>0</v>
      </c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</row>
    <row r="261" spans="1:188">
      <c r="A261" s="375" t="s">
        <v>1970</v>
      </c>
      <c r="B261" s="792">
        <v>640500100100000</v>
      </c>
      <c r="C261" s="313" t="s">
        <v>342</v>
      </c>
      <c r="D261" s="314"/>
      <c r="E261" s="319">
        <f t="shared" si="3"/>
        <v>0</v>
      </c>
      <c r="F261" s="344"/>
      <c r="G261" s="344"/>
      <c r="H261" s="319">
        <v>0</v>
      </c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</row>
    <row r="262" spans="1:188" ht="25.5">
      <c r="A262" s="386" t="s">
        <v>1969</v>
      </c>
      <c r="B262" s="793" t="s">
        <v>345</v>
      </c>
      <c r="C262" s="309" t="s">
        <v>1351</v>
      </c>
      <c r="D262" s="311"/>
      <c r="E262" s="356"/>
      <c r="F262" s="356"/>
      <c r="G262" s="356"/>
      <c r="H262" s="356">
        <v>0</v>
      </c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</row>
    <row r="263" spans="1:188">
      <c r="A263" s="375" t="s">
        <v>1970</v>
      </c>
      <c r="B263" s="792">
        <v>640500100200000</v>
      </c>
      <c r="C263" s="313" t="s">
        <v>344</v>
      </c>
      <c r="D263" s="314"/>
      <c r="E263" s="319">
        <f t="shared" si="3"/>
        <v>0</v>
      </c>
      <c r="F263" s="344"/>
      <c r="G263" s="344"/>
      <c r="H263" s="319">
        <v>0</v>
      </c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</row>
    <row r="264" spans="1:188">
      <c r="A264" s="386" t="s">
        <v>1969</v>
      </c>
      <c r="B264" s="793" t="s">
        <v>347</v>
      </c>
      <c r="C264" s="309" t="s">
        <v>1352</v>
      </c>
      <c r="D264" s="311"/>
      <c r="E264" s="356"/>
      <c r="F264" s="356"/>
      <c r="G264" s="356"/>
      <c r="H264" s="356">
        <v>0</v>
      </c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</row>
    <row r="265" spans="1:188">
      <c r="A265" s="375" t="s">
        <v>1970</v>
      </c>
      <c r="B265" s="792">
        <v>640500100300000</v>
      </c>
      <c r="C265" s="313" t="s">
        <v>346</v>
      </c>
      <c r="D265" s="314"/>
      <c r="E265" s="319">
        <f t="shared" ref="E265:E327" si="4">+F265+G265</f>
        <v>0</v>
      </c>
      <c r="F265" s="344"/>
      <c r="G265" s="344"/>
      <c r="H265" s="319">
        <v>0</v>
      </c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</row>
    <row r="266" spans="1:188">
      <c r="A266" s="386" t="s">
        <v>1967</v>
      </c>
      <c r="B266" s="793" t="s">
        <v>349</v>
      </c>
      <c r="C266" s="309" t="s">
        <v>1353</v>
      </c>
      <c r="D266" s="311"/>
      <c r="E266" s="356"/>
      <c r="F266" s="356"/>
      <c r="G266" s="356"/>
      <c r="H266" s="356">
        <v>0</v>
      </c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</row>
    <row r="267" spans="1:188">
      <c r="A267" s="375" t="s">
        <v>1969</v>
      </c>
      <c r="B267" s="792">
        <v>640500150000000</v>
      </c>
      <c r="C267" s="313" t="s">
        <v>348</v>
      </c>
      <c r="D267" s="314"/>
      <c r="E267" s="319">
        <f t="shared" si="4"/>
        <v>0</v>
      </c>
      <c r="F267" s="344"/>
      <c r="G267" s="344"/>
      <c r="H267" s="319">
        <v>0</v>
      </c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</row>
    <row r="268" spans="1:188">
      <c r="A268" s="386" t="s">
        <v>1967</v>
      </c>
      <c r="B268" s="793" t="s">
        <v>351</v>
      </c>
      <c r="C268" s="309" t="s">
        <v>1354</v>
      </c>
      <c r="D268" s="311"/>
      <c r="E268" s="356"/>
      <c r="F268" s="356"/>
      <c r="G268" s="356"/>
      <c r="H268" s="356">
        <v>0</v>
      </c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</row>
    <row r="269" spans="1:188">
      <c r="A269" s="375" t="s">
        <v>1969</v>
      </c>
      <c r="B269" s="792">
        <v>640500200100000</v>
      </c>
      <c r="C269" s="313" t="s">
        <v>352</v>
      </c>
      <c r="D269" s="314"/>
      <c r="E269" s="319">
        <f t="shared" si="4"/>
        <v>0</v>
      </c>
      <c r="F269" s="344"/>
      <c r="G269" s="344"/>
      <c r="H269" s="319">
        <v>0</v>
      </c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</row>
    <row r="270" spans="1:188">
      <c r="A270" s="375" t="s">
        <v>1969</v>
      </c>
      <c r="B270" s="792">
        <v>640500200150000</v>
      </c>
      <c r="C270" s="313" t="s">
        <v>353</v>
      </c>
      <c r="D270" s="314"/>
      <c r="E270" s="319">
        <f t="shared" si="4"/>
        <v>31141.89</v>
      </c>
      <c r="F270" s="344">
        <v>31141.89</v>
      </c>
      <c r="G270" s="344"/>
      <c r="H270" s="319">
        <v>27071.33</v>
      </c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</row>
    <row r="271" spans="1:188">
      <c r="A271" s="375" t="s">
        <v>1969</v>
      </c>
      <c r="B271" s="792">
        <v>640500200200000</v>
      </c>
      <c r="C271" s="313" t="s">
        <v>354</v>
      </c>
      <c r="D271" s="314"/>
      <c r="E271" s="319">
        <f t="shared" si="4"/>
        <v>0</v>
      </c>
      <c r="F271" s="344"/>
      <c r="G271" s="344"/>
      <c r="H271" s="319">
        <v>0</v>
      </c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</row>
    <row r="272" spans="1:188">
      <c r="A272" s="375" t="s">
        <v>1969</v>
      </c>
      <c r="B272" s="792">
        <v>640500200250000</v>
      </c>
      <c r="C272" s="313" t="s">
        <v>355</v>
      </c>
      <c r="D272" s="314"/>
      <c r="E272" s="319">
        <f t="shared" si="4"/>
        <v>20648</v>
      </c>
      <c r="F272" s="344">
        <v>20648</v>
      </c>
      <c r="G272" s="344"/>
      <c r="H272" s="319">
        <v>20586</v>
      </c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</row>
    <row r="273" spans="1:188">
      <c r="A273" s="375" t="s">
        <v>1969</v>
      </c>
      <c r="B273" s="792">
        <v>640500200300000</v>
      </c>
      <c r="C273" s="313" t="s">
        <v>356</v>
      </c>
      <c r="D273" s="314"/>
      <c r="E273" s="319">
        <f t="shared" si="4"/>
        <v>0</v>
      </c>
      <c r="F273" s="344"/>
      <c r="G273" s="344"/>
      <c r="H273" s="319">
        <v>0</v>
      </c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</row>
    <row r="274" spans="1:188">
      <c r="A274" s="375" t="s">
        <v>1969</v>
      </c>
      <c r="B274" s="792">
        <v>640500200350000</v>
      </c>
      <c r="C274" s="313" t="s">
        <v>357</v>
      </c>
      <c r="D274" s="314"/>
      <c r="E274" s="319">
        <f t="shared" si="4"/>
        <v>83551.850000000006</v>
      </c>
      <c r="F274" s="344">
        <v>83551.850000000006</v>
      </c>
      <c r="G274" s="344"/>
      <c r="H274" s="319">
        <v>105226.68</v>
      </c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</row>
    <row r="275" spans="1:188">
      <c r="A275" s="375" t="s">
        <v>1969</v>
      </c>
      <c r="B275" s="792">
        <v>640500200400000</v>
      </c>
      <c r="C275" s="313" t="s">
        <v>358</v>
      </c>
      <c r="D275" s="314"/>
      <c r="E275" s="319">
        <f t="shared" si="4"/>
        <v>0</v>
      </c>
      <c r="F275" s="344"/>
      <c r="G275" s="344"/>
      <c r="H275" s="319">
        <v>0</v>
      </c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</row>
    <row r="276" spans="1:188">
      <c r="A276" s="375" t="s">
        <v>1969</v>
      </c>
      <c r="B276" s="792">
        <v>640500200450000</v>
      </c>
      <c r="C276" s="313" t="s">
        <v>359</v>
      </c>
      <c r="D276" s="314"/>
      <c r="E276" s="319">
        <f t="shared" si="4"/>
        <v>0</v>
      </c>
      <c r="F276" s="344"/>
      <c r="G276" s="344"/>
      <c r="H276" s="319">
        <v>0</v>
      </c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</row>
    <row r="277" spans="1:188">
      <c r="A277" s="375" t="s">
        <v>1969</v>
      </c>
      <c r="B277" s="792">
        <v>640500200500000</v>
      </c>
      <c r="C277" s="313" t="s">
        <v>360</v>
      </c>
      <c r="D277" s="314"/>
      <c r="E277" s="319">
        <f t="shared" si="4"/>
        <v>65037.72</v>
      </c>
      <c r="F277" s="344">
        <v>65037.72</v>
      </c>
      <c r="G277" s="344"/>
      <c r="H277" s="319">
        <v>49231.77</v>
      </c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</row>
    <row r="278" spans="1:188">
      <c r="A278" s="375" t="s">
        <v>1969</v>
      </c>
      <c r="B278" s="792">
        <v>640500200550000</v>
      </c>
      <c r="C278" s="313" t="s">
        <v>361</v>
      </c>
      <c r="D278" s="314"/>
      <c r="E278" s="319">
        <f t="shared" si="4"/>
        <v>0</v>
      </c>
      <c r="F278" s="344"/>
      <c r="G278" s="344"/>
      <c r="H278" s="319">
        <v>0</v>
      </c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</row>
    <row r="279" spans="1:188">
      <c r="A279" s="375" t="s">
        <v>1969</v>
      </c>
      <c r="B279" s="792">
        <v>640500200600000</v>
      </c>
      <c r="C279" s="313" t="s">
        <v>362</v>
      </c>
      <c r="D279" s="314"/>
      <c r="E279" s="319">
        <f t="shared" si="4"/>
        <v>0</v>
      </c>
      <c r="F279" s="344"/>
      <c r="G279" s="344"/>
      <c r="H279" s="319">
        <v>0</v>
      </c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</row>
    <row r="280" spans="1:188">
      <c r="A280" s="375" t="s">
        <v>1969</v>
      </c>
      <c r="B280" s="792">
        <v>640500200650000</v>
      </c>
      <c r="C280" s="313" t="s">
        <v>363</v>
      </c>
      <c r="D280" s="314"/>
      <c r="E280" s="319">
        <f t="shared" si="4"/>
        <v>0</v>
      </c>
      <c r="F280" s="344"/>
      <c r="G280" s="344"/>
      <c r="H280" s="319">
        <v>0</v>
      </c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</row>
    <row r="281" spans="1:188">
      <c r="A281" s="375" t="s">
        <v>1969</v>
      </c>
      <c r="B281" s="792">
        <v>640500200900000</v>
      </c>
      <c r="C281" s="313" t="s">
        <v>350</v>
      </c>
      <c r="D281" s="314"/>
      <c r="E281" s="319">
        <f t="shared" si="4"/>
        <v>765678.51</v>
      </c>
      <c r="F281" s="344">
        <v>765678.51</v>
      </c>
      <c r="G281" s="344"/>
      <c r="H281" s="319">
        <v>992267</v>
      </c>
      <c r="I281" s="46"/>
      <c r="J281" s="803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</row>
    <row r="282" spans="1:188">
      <c r="A282" s="386" t="s">
        <v>1963</v>
      </c>
      <c r="B282" s="793" t="s">
        <v>364</v>
      </c>
      <c r="C282" s="309" t="s">
        <v>2040</v>
      </c>
      <c r="D282" s="311"/>
      <c r="E282" s="356"/>
      <c r="F282" s="356"/>
      <c r="G282" s="356"/>
      <c r="H282" s="356">
        <v>0</v>
      </c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</row>
    <row r="283" spans="1:188" ht="25.5">
      <c r="A283" s="386" t="s">
        <v>1965</v>
      </c>
      <c r="B283" s="793" t="s">
        <v>365</v>
      </c>
      <c r="C283" s="309" t="s">
        <v>2041</v>
      </c>
      <c r="D283" s="311"/>
      <c r="E283" s="356"/>
      <c r="F283" s="356"/>
      <c r="G283" s="356"/>
      <c r="H283" s="356">
        <v>0</v>
      </c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</row>
    <row r="284" spans="1:188" ht="24">
      <c r="A284" s="375" t="s">
        <v>1967</v>
      </c>
      <c r="B284" s="792">
        <v>650100000000000</v>
      </c>
      <c r="C284" s="313" t="s">
        <v>1822</v>
      </c>
      <c r="D284" s="314"/>
      <c r="E284" s="319">
        <f t="shared" si="4"/>
        <v>0</v>
      </c>
      <c r="F284" s="344"/>
      <c r="G284" s="344"/>
      <c r="H284" s="319">
        <v>0</v>
      </c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</row>
    <row r="285" spans="1:188" ht="25.5">
      <c r="A285" s="386" t="s">
        <v>1965</v>
      </c>
      <c r="B285" s="793" t="s">
        <v>367</v>
      </c>
      <c r="C285" s="309" t="s">
        <v>2042</v>
      </c>
      <c r="D285" s="311"/>
      <c r="E285" s="356"/>
      <c r="F285" s="356"/>
      <c r="G285" s="356"/>
      <c r="H285" s="356">
        <v>0</v>
      </c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</row>
    <row r="286" spans="1:188">
      <c r="A286" s="375" t="s">
        <v>1967</v>
      </c>
      <c r="B286" s="792">
        <v>650200000000000</v>
      </c>
      <c r="C286" s="313" t="s">
        <v>366</v>
      </c>
      <c r="D286" s="314"/>
      <c r="E286" s="319">
        <f t="shared" si="4"/>
        <v>0</v>
      </c>
      <c r="F286" s="344"/>
      <c r="G286" s="344"/>
      <c r="H286" s="319">
        <v>0</v>
      </c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</row>
    <row r="287" spans="1:188">
      <c r="A287" s="386" t="s">
        <v>1965</v>
      </c>
      <c r="B287" s="793" t="s">
        <v>369</v>
      </c>
      <c r="C287" s="309" t="s">
        <v>2043</v>
      </c>
      <c r="D287" s="311"/>
      <c r="E287" s="356"/>
      <c r="F287" s="356"/>
      <c r="G287" s="356"/>
      <c r="H287" s="356">
        <v>0</v>
      </c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</row>
    <row r="288" spans="1:188">
      <c r="A288" s="375" t="s">
        <v>1967</v>
      </c>
      <c r="B288" s="792">
        <v>650300000000000</v>
      </c>
      <c r="C288" s="313" t="s">
        <v>368</v>
      </c>
      <c r="D288" s="314"/>
      <c r="E288" s="319">
        <f t="shared" si="4"/>
        <v>0</v>
      </c>
      <c r="F288" s="344"/>
      <c r="G288" s="344"/>
      <c r="H288" s="319">
        <v>0</v>
      </c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</row>
    <row r="289" spans="1:188">
      <c r="A289" s="386" t="s">
        <v>1963</v>
      </c>
      <c r="B289" s="793" t="s">
        <v>370</v>
      </c>
      <c r="C289" s="309" t="s">
        <v>2044</v>
      </c>
      <c r="D289" s="311"/>
      <c r="E289" s="356"/>
      <c r="F289" s="356"/>
      <c r="G289" s="356"/>
      <c r="H289" s="356">
        <v>0</v>
      </c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</row>
    <row r="290" spans="1:188">
      <c r="A290" s="386" t="s">
        <v>1965</v>
      </c>
      <c r="B290" s="793" t="s">
        <v>372</v>
      </c>
      <c r="C290" s="309" t="s">
        <v>1360</v>
      </c>
      <c r="D290" s="311"/>
      <c r="E290" s="356"/>
      <c r="F290" s="356"/>
      <c r="G290" s="356"/>
      <c r="H290" s="356">
        <v>0</v>
      </c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</row>
    <row r="291" spans="1:188">
      <c r="A291" s="375" t="s">
        <v>1967</v>
      </c>
      <c r="B291" s="792">
        <v>660100000000000</v>
      </c>
      <c r="C291" s="313" t="s">
        <v>371</v>
      </c>
      <c r="D291" s="314"/>
      <c r="E291" s="319">
        <f t="shared" si="4"/>
        <v>0</v>
      </c>
      <c r="F291" s="344"/>
      <c r="G291" s="344"/>
      <c r="H291" s="319">
        <v>0</v>
      </c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</row>
    <row r="292" spans="1:188">
      <c r="A292" s="386" t="s">
        <v>1965</v>
      </c>
      <c r="B292" s="793" t="s">
        <v>374</v>
      </c>
      <c r="C292" s="309" t="s">
        <v>2045</v>
      </c>
      <c r="D292" s="311"/>
      <c r="E292" s="356"/>
      <c r="F292" s="356"/>
      <c r="G292" s="356"/>
      <c r="H292" s="356">
        <v>0</v>
      </c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</row>
    <row r="293" spans="1:188">
      <c r="A293" s="375" t="s">
        <v>1967</v>
      </c>
      <c r="B293" s="792">
        <v>660200000000000</v>
      </c>
      <c r="C293" s="313" t="s">
        <v>373</v>
      </c>
      <c r="D293" s="314"/>
      <c r="E293" s="319">
        <f t="shared" si="4"/>
        <v>186482.77</v>
      </c>
      <c r="F293" s="344">
        <v>186482.77</v>
      </c>
      <c r="G293" s="344"/>
      <c r="H293" s="319">
        <v>162903.45000000001</v>
      </c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</row>
    <row r="294" spans="1:188">
      <c r="A294" s="386" t="s">
        <v>1965</v>
      </c>
      <c r="B294" s="793" t="s">
        <v>376</v>
      </c>
      <c r="C294" s="309" t="s">
        <v>2046</v>
      </c>
      <c r="D294" s="311"/>
      <c r="E294" s="356"/>
      <c r="F294" s="356"/>
      <c r="G294" s="356"/>
      <c r="H294" s="356">
        <v>0</v>
      </c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</row>
    <row r="295" spans="1:188">
      <c r="A295" s="375" t="s">
        <v>1967</v>
      </c>
      <c r="B295" s="792">
        <v>660300000000000</v>
      </c>
      <c r="C295" s="313" t="s">
        <v>375</v>
      </c>
      <c r="D295" s="314"/>
      <c r="E295" s="319">
        <f t="shared" si="4"/>
        <v>0</v>
      </c>
      <c r="F295" s="344"/>
      <c r="G295" s="344"/>
      <c r="H295" s="319">
        <v>0</v>
      </c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  <c r="FI295" s="46"/>
      <c r="FJ295" s="46"/>
      <c r="FK295" s="46"/>
      <c r="FL295" s="46"/>
      <c r="FM295" s="46"/>
      <c r="FN295" s="46"/>
      <c r="FO295" s="46"/>
      <c r="FP295" s="46"/>
      <c r="FQ295" s="46"/>
      <c r="FR295" s="46"/>
      <c r="FS295" s="46"/>
      <c r="FT295" s="46"/>
      <c r="FU295" s="46"/>
      <c r="FV295" s="46"/>
      <c r="FW295" s="46"/>
      <c r="FX295" s="46"/>
      <c r="FY295" s="46"/>
      <c r="FZ295" s="46"/>
      <c r="GA295" s="46"/>
      <c r="GB295" s="46"/>
      <c r="GC295" s="46"/>
      <c r="GD295" s="46"/>
      <c r="GE295" s="46"/>
      <c r="GF295" s="46"/>
    </row>
    <row r="296" spans="1:188" ht="25.5">
      <c r="A296" s="386" t="s">
        <v>1965</v>
      </c>
      <c r="B296" s="793" t="s">
        <v>378</v>
      </c>
      <c r="C296" s="309" t="s">
        <v>1363</v>
      </c>
      <c r="D296" s="311"/>
      <c r="E296" s="356"/>
      <c r="F296" s="356"/>
      <c r="G296" s="356"/>
      <c r="H296" s="356">
        <v>0</v>
      </c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</row>
    <row r="297" spans="1:188">
      <c r="A297" s="375" t="s">
        <v>1967</v>
      </c>
      <c r="B297" s="792">
        <v>660400000000000</v>
      </c>
      <c r="C297" s="313" t="s">
        <v>377</v>
      </c>
      <c r="D297" s="314"/>
      <c r="E297" s="319">
        <f t="shared" si="4"/>
        <v>0</v>
      </c>
      <c r="F297" s="344"/>
      <c r="G297" s="344"/>
      <c r="H297" s="319">
        <v>0</v>
      </c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</row>
    <row r="298" spans="1:188" ht="25.5">
      <c r="A298" s="386" t="s">
        <v>1965</v>
      </c>
      <c r="B298" s="793" t="s">
        <v>380</v>
      </c>
      <c r="C298" s="309" t="s">
        <v>1364</v>
      </c>
      <c r="D298" s="311"/>
      <c r="E298" s="356"/>
      <c r="F298" s="356"/>
      <c r="G298" s="356"/>
      <c r="H298" s="356">
        <v>0</v>
      </c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6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6"/>
      <c r="GC298" s="46"/>
      <c r="GD298" s="46"/>
      <c r="GE298" s="46"/>
      <c r="GF298" s="46"/>
    </row>
    <row r="299" spans="1:188" ht="24">
      <c r="A299" s="375" t="s">
        <v>1967</v>
      </c>
      <c r="B299" s="792">
        <v>660500000000000</v>
      </c>
      <c r="C299" s="313" t="s">
        <v>379</v>
      </c>
      <c r="D299" s="314"/>
      <c r="E299" s="319">
        <f t="shared" si="4"/>
        <v>0</v>
      </c>
      <c r="F299" s="344"/>
      <c r="G299" s="344"/>
      <c r="H299" s="319">
        <v>0</v>
      </c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</row>
    <row r="300" spans="1:188">
      <c r="A300" s="386" t="s">
        <v>1965</v>
      </c>
      <c r="B300" s="793" t="s">
        <v>382</v>
      </c>
      <c r="C300" s="309" t="s">
        <v>1365</v>
      </c>
      <c r="D300" s="311"/>
      <c r="E300" s="356"/>
      <c r="F300" s="356"/>
      <c r="G300" s="356"/>
      <c r="H300" s="356">
        <v>0</v>
      </c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</row>
    <row r="301" spans="1:188">
      <c r="A301" s="375" t="s">
        <v>1967</v>
      </c>
      <c r="B301" s="792">
        <v>660600000000000</v>
      </c>
      <c r="C301" s="313" t="s">
        <v>381</v>
      </c>
      <c r="D301" s="314"/>
      <c r="E301" s="319">
        <f t="shared" si="4"/>
        <v>0</v>
      </c>
      <c r="F301" s="344"/>
      <c r="G301" s="344"/>
      <c r="H301" s="319">
        <v>0</v>
      </c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</row>
    <row r="302" spans="1:188">
      <c r="A302" s="386" t="s">
        <v>1963</v>
      </c>
      <c r="B302" s="793" t="s">
        <v>383</v>
      </c>
      <c r="C302" s="309" t="s">
        <v>2047</v>
      </c>
      <c r="D302" s="311"/>
      <c r="E302" s="356"/>
      <c r="F302" s="356"/>
      <c r="G302" s="356"/>
      <c r="H302" s="356">
        <v>0</v>
      </c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</row>
    <row r="303" spans="1:188">
      <c r="A303" s="375" t="s">
        <v>1965</v>
      </c>
      <c r="B303" s="792">
        <v>670000000000000</v>
      </c>
      <c r="C303" s="313" t="s">
        <v>30</v>
      </c>
      <c r="D303" s="314"/>
      <c r="E303" s="319">
        <f t="shared" si="4"/>
        <v>0</v>
      </c>
      <c r="F303" s="344"/>
      <c r="G303" s="344"/>
      <c r="H303" s="319">
        <v>0</v>
      </c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</row>
    <row r="304" spans="1:188">
      <c r="A304" s="386" t="s">
        <v>1963</v>
      </c>
      <c r="B304" s="793" t="s">
        <v>384</v>
      </c>
      <c r="C304" s="309" t="s">
        <v>1367</v>
      </c>
      <c r="D304" s="311"/>
      <c r="E304" s="356"/>
      <c r="F304" s="356"/>
      <c r="G304" s="356"/>
      <c r="H304" s="356">
        <v>0</v>
      </c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</row>
    <row r="305" spans="1:188">
      <c r="A305" s="386" t="s">
        <v>1965</v>
      </c>
      <c r="B305" s="793" t="s">
        <v>385</v>
      </c>
      <c r="C305" s="309" t="s">
        <v>1368</v>
      </c>
      <c r="D305" s="311"/>
      <c r="E305" s="356"/>
      <c r="F305" s="356"/>
      <c r="G305" s="356"/>
      <c r="H305" s="356">
        <v>0</v>
      </c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</row>
    <row r="306" spans="1:188">
      <c r="A306" s="375">
        <v>5</v>
      </c>
      <c r="B306" s="792">
        <v>680100100000000</v>
      </c>
      <c r="C306" s="313" t="s">
        <v>386</v>
      </c>
      <c r="D306" s="314"/>
      <c r="E306" s="319">
        <f t="shared" si="4"/>
        <v>0</v>
      </c>
      <c r="F306" s="344"/>
      <c r="G306" s="344"/>
      <c r="H306" s="319">
        <v>0</v>
      </c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</row>
    <row r="307" spans="1:188">
      <c r="A307" s="375">
        <v>5</v>
      </c>
      <c r="B307" s="792">
        <v>680100200000000</v>
      </c>
      <c r="C307" s="313" t="s">
        <v>387</v>
      </c>
      <c r="D307" s="314"/>
      <c r="E307" s="319">
        <f t="shared" si="4"/>
        <v>0</v>
      </c>
      <c r="F307" s="344"/>
      <c r="G307" s="344"/>
      <c r="H307" s="319">
        <v>0</v>
      </c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</row>
    <row r="308" spans="1:188">
      <c r="A308" s="375">
        <v>5</v>
      </c>
      <c r="B308" s="792">
        <v>680100900000000</v>
      </c>
      <c r="C308" s="313" t="s">
        <v>388</v>
      </c>
      <c r="D308" s="314"/>
      <c r="E308" s="319">
        <f t="shared" si="4"/>
        <v>0</v>
      </c>
      <c r="F308" s="344"/>
      <c r="G308" s="344"/>
      <c r="H308" s="319">
        <v>0</v>
      </c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</row>
    <row r="309" spans="1:188">
      <c r="A309" s="386" t="s">
        <v>1965</v>
      </c>
      <c r="B309" s="793" t="s">
        <v>389</v>
      </c>
      <c r="C309" s="309" t="s">
        <v>1369</v>
      </c>
      <c r="D309" s="311"/>
      <c r="E309" s="356"/>
      <c r="F309" s="356"/>
      <c r="G309" s="356"/>
      <c r="H309" s="356">
        <v>0</v>
      </c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</row>
    <row r="310" spans="1:188">
      <c r="A310" s="375">
        <v>5</v>
      </c>
      <c r="B310" s="792">
        <v>680200100000000</v>
      </c>
      <c r="C310" s="313" t="s">
        <v>390</v>
      </c>
      <c r="D310" s="314"/>
      <c r="E310" s="319">
        <f t="shared" si="4"/>
        <v>0</v>
      </c>
      <c r="F310" s="344"/>
      <c r="G310" s="344"/>
      <c r="H310" s="319">
        <v>0</v>
      </c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</row>
    <row r="311" spans="1:188">
      <c r="A311" s="375">
        <v>5</v>
      </c>
      <c r="B311" s="792">
        <v>680200200000000</v>
      </c>
      <c r="C311" s="313" t="s">
        <v>391</v>
      </c>
      <c r="D311" s="314"/>
      <c r="E311" s="319">
        <f t="shared" si="4"/>
        <v>0</v>
      </c>
      <c r="F311" s="344"/>
      <c r="G311" s="344"/>
      <c r="H311" s="319">
        <v>0</v>
      </c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</row>
    <row r="312" spans="1:188">
      <c r="A312" s="375">
        <v>5</v>
      </c>
      <c r="B312" s="792">
        <v>680200900000000</v>
      </c>
      <c r="C312" s="313" t="s">
        <v>392</v>
      </c>
      <c r="D312" s="314"/>
      <c r="E312" s="319">
        <f t="shared" si="4"/>
        <v>0</v>
      </c>
      <c r="F312" s="344"/>
      <c r="G312" s="344"/>
      <c r="H312" s="319">
        <v>0</v>
      </c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  <c r="FI312" s="46"/>
      <c r="FJ312" s="46"/>
      <c r="FK312" s="46"/>
      <c r="FL312" s="46"/>
      <c r="FM312" s="46"/>
      <c r="FN312" s="46"/>
      <c r="FO312" s="46"/>
      <c r="FP312" s="46"/>
      <c r="FQ312" s="46"/>
      <c r="FR312" s="46"/>
      <c r="FS312" s="46"/>
      <c r="FT312" s="46"/>
      <c r="FU312" s="46"/>
      <c r="FV312" s="46"/>
      <c r="FW312" s="46"/>
      <c r="FX312" s="46"/>
      <c r="FY312" s="46"/>
      <c r="FZ312" s="46"/>
      <c r="GA312" s="46"/>
      <c r="GB312" s="46"/>
      <c r="GC312" s="46"/>
      <c r="GD312" s="46"/>
      <c r="GE312" s="46"/>
      <c r="GF312" s="46"/>
    </row>
    <row r="313" spans="1:188">
      <c r="A313" s="386" t="s">
        <v>1965</v>
      </c>
      <c r="B313" s="793" t="s">
        <v>394</v>
      </c>
      <c r="C313" s="309" t="s">
        <v>1370</v>
      </c>
      <c r="D313" s="311"/>
      <c r="E313" s="356"/>
      <c r="F313" s="356"/>
      <c r="G313" s="356"/>
      <c r="H313" s="356">
        <v>0</v>
      </c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  <c r="FI313" s="46"/>
      <c r="FJ313" s="46"/>
      <c r="FK313" s="46"/>
      <c r="FL313" s="46"/>
      <c r="FM313" s="46"/>
      <c r="FN313" s="46"/>
      <c r="FO313" s="46"/>
      <c r="FP313" s="46"/>
      <c r="FQ313" s="46"/>
      <c r="FR313" s="46"/>
      <c r="FS313" s="46"/>
      <c r="FT313" s="46"/>
      <c r="FU313" s="46"/>
      <c r="FV313" s="46"/>
      <c r="FW313" s="46"/>
      <c r="FX313" s="46"/>
      <c r="FY313" s="46"/>
      <c r="FZ313" s="46"/>
      <c r="GA313" s="46"/>
      <c r="GB313" s="46"/>
      <c r="GC313" s="46"/>
      <c r="GD313" s="46"/>
      <c r="GE313" s="46"/>
      <c r="GF313" s="46"/>
    </row>
    <row r="314" spans="1:188">
      <c r="A314" s="375">
        <v>5</v>
      </c>
      <c r="B314" s="792">
        <v>680300100000000</v>
      </c>
      <c r="C314" s="313" t="s">
        <v>395</v>
      </c>
      <c r="D314" s="314"/>
      <c r="E314" s="319">
        <f t="shared" si="4"/>
        <v>7500</v>
      </c>
      <c r="F314" s="344">
        <v>7500</v>
      </c>
      <c r="G314" s="344"/>
      <c r="H314" s="319">
        <v>0</v>
      </c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  <c r="FI314" s="46"/>
      <c r="FJ314" s="46"/>
      <c r="FK314" s="46"/>
      <c r="FL314" s="46"/>
      <c r="FM314" s="46"/>
      <c r="FN314" s="46"/>
      <c r="FO314" s="46"/>
      <c r="FP314" s="46"/>
      <c r="FQ314" s="46"/>
      <c r="FR314" s="46"/>
      <c r="FS314" s="46"/>
      <c r="FT314" s="46"/>
      <c r="FU314" s="46"/>
      <c r="FV314" s="46"/>
      <c r="FW314" s="46"/>
      <c r="FX314" s="46"/>
      <c r="FY314" s="46"/>
      <c r="FZ314" s="46"/>
      <c r="GA314" s="46"/>
      <c r="GB314" s="46"/>
      <c r="GC314" s="46"/>
      <c r="GD314" s="46"/>
      <c r="GE314" s="46"/>
      <c r="GF314" s="46"/>
    </row>
    <row r="315" spans="1:188">
      <c r="A315" s="375">
        <v>5</v>
      </c>
      <c r="B315" s="792">
        <v>680300200000000</v>
      </c>
      <c r="C315" s="313" t="s">
        <v>396</v>
      </c>
      <c r="D315" s="314"/>
      <c r="E315" s="319">
        <f t="shared" si="4"/>
        <v>0</v>
      </c>
      <c r="F315" s="344"/>
      <c r="G315" s="344"/>
      <c r="H315" s="319">
        <v>0</v>
      </c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</row>
    <row r="316" spans="1:188">
      <c r="A316" s="375">
        <v>5</v>
      </c>
      <c r="B316" s="792">
        <v>680300900000000</v>
      </c>
      <c r="C316" s="313" t="s">
        <v>393</v>
      </c>
      <c r="D316" s="314"/>
      <c r="E316" s="319">
        <f t="shared" si="4"/>
        <v>0</v>
      </c>
      <c r="F316" s="344"/>
      <c r="G316" s="344"/>
      <c r="H316" s="319">
        <v>9190.73</v>
      </c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</row>
    <row r="317" spans="1:188">
      <c r="A317" s="388">
        <v>2</v>
      </c>
      <c r="B317" s="793" t="s">
        <v>2579</v>
      </c>
      <c r="C317" s="310" t="s">
        <v>2580</v>
      </c>
      <c r="D317" s="321"/>
      <c r="E317" s="352"/>
      <c r="F317" s="352"/>
      <c r="G317" s="352"/>
      <c r="H317" s="352">
        <v>0</v>
      </c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</row>
    <row r="318" spans="1:188">
      <c r="A318" s="386" t="s">
        <v>1963</v>
      </c>
      <c r="B318" s="793" t="s">
        <v>397</v>
      </c>
      <c r="C318" s="309" t="s">
        <v>1712</v>
      </c>
      <c r="D318" s="311"/>
      <c r="E318" s="355"/>
      <c r="F318" s="355"/>
      <c r="G318" s="355"/>
      <c r="H318" s="355">
        <v>0</v>
      </c>
    </row>
    <row r="319" spans="1:188">
      <c r="A319" s="386" t="s">
        <v>1965</v>
      </c>
      <c r="B319" s="793" t="s">
        <v>399</v>
      </c>
      <c r="C319" s="309" t="s">
        <v>1713</v>
      </c>
      <c r="D319" s="311"/>
      <c r="E319" s="355"/>
      <c r="F319" s="355"/>
      <c r="G319" s="355"/>
      <c r="H319" s="355">
        <v>0</v>
      </c>
    </row>
    <row r="320" spans="1:188">
      <c r="A320" s="375" t="s">
        <v>1967</v>
      </c>
      <c r="B320" s="792">
        <v>690100000000000</v>
      </c>
      <c r="C320" s="313" t="s">
        <v>398</v>
      </c>
      <c r="D320" s="314"/>
      <c r="E320" s="319">
        <f t="shared" si="4"/>
        <v>0.7</v>
      </c>
      <c r="F320" s="344">
        <v>0.7</v>
      </c>
      <c r="G320" s="344"/>
      <c r="H320" s="319">
        <v>0</v>
      </c>
    </row>
    <row r="321" spans="1:8">
      <c r="A321" s="386" t="s">
        <v>1965</v>
      </c>
      <c r="B321" s="793" t="s">
        <v>400</v>
      </c>
      <c r="C321" s="309" t="s">
        <v>1714</v>
      </c>
      <c r="D321" s="311"/>
      <c r="E321" s="355"/>
      <c r="F321" s="355"/>
      <c r="G321" s="355"/>
      <c r="H321" s="355">
        <v>0</v>
      </c>
    </row>
    <row r="322" spans="1:8">
      <c r="A322" s="375" t="s">
        <v>1967</v>
      </c>
      <c r="B322" s="792">
        <v>690200100000000</v>
      </c>
      <c r="C322" s="313" t="s">
        <v>401</v>
      </c>
      <c r="D322" s="314"/>
      <c r="E322" s="319">
        <f t="shared" si="4"/>
        <v>0</v>
      </c>
      <c r="F322" s="344"/>
      <c r="G322" s="344"/>
      <c r="H322" s="319">
        <v>0</v>
      </c>
    </row>
    <row r="323" spans="1:8">
      <c r="A323" s="375" t="s">
        <v>1967</v>
      </c>
      <c r="B323" s="792">
        <v>690200200000000</v>
      </c>
      <c r="C323" s="313" t="s">
        <v>402</v>
      </c>
      <c r="D323" s="314"/>
      <c r="E323" s="319">
        <f t="shared" si="4"/>
        <v>0</v>
      </c>
      <c r="F323" s="344"/>
      <c r="G323" s="344"/>
      <c r="H323" s="319">
        <v>0</v>
      </c>
    </row>
    <row r="324" spans="1:8">
      <c r="A324" s="386" t="s">
        <v>1965</v>
      </c>
      <c r="B324" s="793" t="s">
        <v>404</v>
      </c>
      <c r="C324" s="309" t="s">
        <v>1715</v>
      </c>
      <c r="D324" s="311"/>
      <c r="E324" s="355"/>
      <c r="F324" s="355"/>
      <c r="G324" s="355"/>
      <c r="H324" s="355">
        <v>0</v>
      </c>
    </row>
    <row r="325" spans="1:8">
      <c r="A325" s="375" t="s">
        <v>1967</v>
      </c>
      <c r="B325" s="792">
        <v>690300100000000</v>
      </c>
      <c r="C325" s="313" t="s">
        <v>405</v>
      </c>
      <c r="D325" s="314"/>
      <c r="E325" s="319">
        <f t="shared" si="4"/>
        <v>0</v>
      </c>
      <c r="F325" s="344"/>
      <c r="G325" s="344"/>
      <c r="H325" s="319">
        <v>0</v>
      </c>
    </row>
    <row r="326" spans="1:8">
      <c r="A326" s="375" t="s">
        <v>1967</v>
      </c>
      <c r="B326" s="792">
        <v>690300200000000</v>
      </c>
      <c r="C326" s="313" t="s">
        <v>2581</v>
      </c>
      <c r="D326" s="314"/>
      <c r="E326" s="319">
        <f t="shared" si="4"/>
        <v>0</v>
      </c>
      <c r="F326" s="344"/>
      <c r="G326" s="344"/>
      <c r="H326" s="319">
        <v>0</v>
      </c>
    </row>
    <row r="327" spans="1:8">
      <c r="A327" s="375" t="s">
        <v>1967</v>
      </c>
      <c r="B327" s="792">
        <v>690300900000000</v>
      </c>
      <c r="C327" s="313" t="s">
        <v>403</v>
      </c>
      <c r="D327" s="314"/>
      <c r="E327" s="319">
        <f t="shared" si="4"/>
        <v>0</v>
      </c>
      <c r="F327" s="344"/>
      <c r="G327" s="344"/>
      <c r="H327" s="319">
        <v>0</v>
      </c>
    </row>
    <row r="328" spans="1:8">
      <c r="A328" s="386" t="s">
        <v>1963</v>
      </c>
      <c r="B328" s="793" t="s">
        <v>406</v>
      </c>
      <c r="C328" s="309" t="s">
        <v>1716</v>
      </c>
      <c r="D328" s="311"/>
      <c r="E328" s="355"/>
      <c r="F328" s="355"/>
      <c r="G328" s="355"/>
      <c r="H328" s="355">
        <v>0</v>
      </c>
    </row>
    <row r="329" spans="1:8">
      <c r="A329" s="386" t="s">
        <v>1965</v>
      </c>
      <c r="B329" s="793" t="s">
        <v>408</v>
      </c>
      <c r="C329" s="309" t="s">
        <v>1717</v>
      </c>
      <c r="D329" s="311"/>
      <c r="E329" s="355"/>
      <c r="F329" s="355"/>
      <c r="G329" s="355"/>
      <c r="H329" s="355">
        <v>0</v>
      </c>
    </row>
    <row r="330" spans="1:8">
      <c r="A330" s="375" t="s">
        <v>1967</v>
      </c>
      <c r="B330" s="792">
        <v>700100000000000</v>
      </c>
      <c r="C330" s="313" t="s">
        <v>407</v>
      </c>
      <c r="D330" s="314"/>
      <c r="E330" s="319">
        <f t="shared" ref="E330:E388" si="5">+F330+G330</f>
        <v>0</v>
      </c>
      <c r="F330" s="344"/>
      <c r="G330" s="344"/>
      <c r="H330" s="319">
        <v>0</v>
      </c>
    </row>
    <row r="331" spans="1:8">
      <c r="A331" s="386" t="s">
        <v>1965</v>
      </c>
      <c r="B331" s="793" t="s">
        <v>410</v>
      </c>
      <c r="C331" s="309" t="s">
        <v>1718</v>
      </c>
      <c r="D331" s="311"/>
      <c r="E331" s="355"/>
      <c r="F331" s="355"/>
      <c r="G331" s="355"/>
      <c r="H331" s="355">
        <v>0</v>
      </c>
    </row>
    <row r="332" spans="1:8">
      <c r="A332" s="375" t="s">
        <v>1967</v>
      </c>
      <c r="B332" s="792">
        <v>700200000000000</v>
      </c>
      <c r="C332" s="313" t="s">
        <v>409</v>
      </c>
      <c r="D332" s="314"/>
      <c r="E332" s="319">
        <f t="shared" si="5"/>
        <v>0</v>
      </c>
      <c r="F332" s="344"/>
      <c r="G332" s="344"/>
      <c r="H332" s="319">
        <v>0</v>
      </c>
    </row>
    <row r="333" spans="1:8">
      <c r="A333" s="386" t="s">
        <v>1965</v>
      </c>
      <c r="B333" s="793" t="s">
        <v>412</v>
      </c>
      <c r="C333" s="309" t="s">
        <v>1719</v>
      </c>
      <c r="D333" s="311"/>
      <c r="E333" s="355"/>
      <c r="F333" s="355"/>
      <c r="G333" s="355"/>
      <c r="H333" s="355">
        <v>0</v>
      </c>
    </row>
    <row r="334" spans="1:8">
      <c r="A334" s="375" t="s">
        <v>1967</v>
      </c>
      <c r="B334" s="792">
        <v>700300000000000</v>
      </c>
      <c r="C334" s="313" t="s">
        <v>411</v>
      </c>
      <c r="D334" s="314"/>
      <c r="E334" s="319">
        <f t="shared" si="5"/>
        <v>0</v>
      </c>
      <c r="F334" s="344"/>
      <c r="G334" s="344"/>
      <c r="H334" s="319">
        <v>0</v>
      </c>
    </row>
    <row r="335" spans="1:8">
      <c r="A335" s="386" t="s">
        <v>1965</v>
      </c>
      <c r="B335" s="793" t="s">
        <v>414</v>
      </c>
      <c r="C335" s="309" t="s">
        <v>1720</v>
      </c>
      <c r="D335" s="311"/>
      <c r="E335" s="355"/>
      <c r="F335" s="355"/>
      <c r="G335" s="355"/>
      <c r="H335" s="355">
        <v>0</v>
      </c>
    </row>
    <row r="336" spans="1:8">
      <c r="A336" s="375" t="s">
        <v>1967</v>
      </c>
      <c r="B336" s="792">
        <v>700400000000000</v>
      </c>
      <c r="C336" s="313" t="s">
        <v>413</v>
      </c>
      <c r="D336" s="314"/>
      <c r="E336" s="319">
        <f t="shared" si="5"/>
        <v>0</v>
      </c>
      <c r="F336" s="344"/>
      <c r="G336" s="344"/>
      <c r="H336" s="319">
        <v>0</v>
      </c>
    </row>
    <row r="337" spans="1:8">
      <c r="A337" s="386" t="s">
        <v>1965</v>
      </c>
      <c r="B337" s="793" t="s">
        <v>416</v>
      </c>
      <c r="C337" s="309" t="s">
        <v>1721</v>
      </c>
      <c r="D337" s="311"/>
      <c r="E337" s="355"/>
      <c r="F337" s="355"/>
      <c r="G337" s="355"/>
      <c r="H337" s="355">
        <v>0</v>
      </c>
    </row>
    <row r="338" spans="1:8">
      <c r="A338" s="375" t="s">
        <v>1967</v>
      </c>
      <c r="B338" s="792">
        <v>700500000000000</v>
      </c>
      <c r="C338" s="313" t="s">
        <v>415</v>
      </c>
      <c r="D338" s="314"/>
      <c r="E338" s="319">
        <f t="shared" si="5"/>
        <v>0</v>
      </c>
      <c r="F338" s="344"/>
      <c r="G338" s="344"/>
      <c r="H338" s="319">
        <v>0</v>
      </c>
    </row>
    <row r="339" spans="1:8">
      <c r="A339" s="388">
        <v>2</v>
      </c>
      <c r="B339" s="793" t="s">
        <v>2584</v>
      </c>
      <c r="C339" s="310" t="s">
        <v>2585</v>
      </c>
      <c r="D339" s="321"/>
      <c r="E339" s="352"/>
      <c r="F339" s="352"/>
      <c r="G339" s="352"/>
      <c r="H339" s="352">
        <v>0</v>
      </c>
    </row>
    <row r="340" spans="1:8">
      <c r="A340" s="386" t="s">
        <v>1963</v>
      </c>
      <c r="B340" s="793" t="s">
        <v>418</v>
      </c>
      <c r="C340" s="309" t="s">
        <v>2586</v>
      </c>
      <c r="D340" s="311"/>
      <c r="E340" s="355"/>
      <c r="F340" s="355"/>
      <c r="G340" s="355"/>
      <c r="H340" s="355">
        <v>0</v>
      </c>
    </row>
    <row r="341" spans="1:8">
      <c r="A341" s="375" t="s">
        <v>1965</v>
      </c>
      <c r="B341" s="792">
        <v>710000000000000</v>
      </c>
      <c r="C341" s="313" t="s">
        <v>417</v>
      </c>
      <c r="D341" s="314"/>
      <c r="E341" s="319">
        <f t="shared" si="5"/>
        <v>0</v>
      </c>
      <c r="F341" s="344"/>
      <c r="G341" s="344"/>
      <c r="H341" s="319">
        <v>0</v>
      </c>
    </row>
    <row r="342" spans="1:8">
      <c r="A342" s="389" t="s">
        <v>1960</v>
      </c>
      <c r="B342" s="793" t="s">
        <v>2588</v>
      </c>
      <c r="C342" s="309" t="s">
        <v>2589</v>
      </c>
      <c r="D342" s="311"/>
      <c r="E342" s="355"/>
      <c r="F342" s="355"/>
      <c r="G342" s="355"/>
      <c r="H342" s="355">
        <v>0</v>
      </c>
    </row>
    <row r="343" spans="1:8">
      <c r="A343" s="386" t="s">
        <v>1963</v>
      </c>
      <c r="B343" s="793" t="s">
        <v>419</v>
      </c>
      <c r="C343" s="309" t="s">
        <v>1738</v>
      </c>
      <c r="D343" s="311"/>
      <c r="E343" s="355"/>
      <c r="F343" s="355"/>
      <c r="G343" s="355"/>
      <c r="H343" s="355">
        <v>0</v>
      </c>
    </row>
    <row r="344" spans="1:8">
      <c r="A344" s="386" t="s">
        <v>1965</v>
      </c>
      <c r="B344" s="793" t="s">
        <v>421</v>
      </c>
      <c r="C344" s="309" t="s">
        <v>1739</v>
      </c>
      <c r="D344" s="311"/>
      <c r="E344" s="355"/>
      <c r="F344" s="355"/>
      <c r="G344" s="355"/>
      <c r="H344" s="355">
        <v>0</v>
      </c>
    </row>
    <row r="345" spans="1:8">
      <c r="A345" s="375" t="s">
        <v>1967</v>
      </c>
      <c r="B345" s="792">
        <v>720100000000000</v>
      </c>
      <c r="C345" s="313" t="s">
        <v>420</v>
      </c>
      <c r="D345" s="314"/>
      <c r="E345" s="319">
        <f t="shared" si="5"/>
        <v>0</v>
      </c>
      <c r="F345" s="344"/>
      <c r="G345" s="344"/>
      <c r="H345" s="319">
        <v>0</v>
      </c>
    </row>
    <row r="346" spans="1:8">
      <c r="A346" s="386" t="s">
        <v>1965</v>
      </c>
      <c r="B346" s="793" t="s">
        <v>423</v>
      </c>
      <c r="C346" s="309" t="s">
        <v>1740</v>
      </c>
      <c r="D346" s="311"/>
      <c r="E346" s="355"/>
      <c r="F346" s="355"/>
      <c r="G346" s="355"/>
      <c r="H346" s="355">
        <v>0</v>
      </c>
    </row>
    <row r="347" spans="1:8">
      <c r="A347" s="386" t="s">
        <v>1967</v>
      </c>
      <c r="B347" s="793" t="s">
        <v>425</v>
      </c>
      <c r="C347" s="309" t="s">
        <v>1741</v>
      </c>
      <c r="D347" s="311"/>
      <c r="E347" s="355"/>
      <c r="F347" s="355"/>
      <c r="G347" s="355"/>
      <c r="H347" s="355">
        <v>0</v>
      </c>
    </row>
    <row r="348" spans="1:8">
      <c r="A348" s="375" t="s">
        <v>1969</v>
      </c>
      <c r="B348" s="792">
        <v>720200100000000</v>
      </c>
      <c r="C348" s="313" t="s">
        <v>424</v>
      </c>
      <c r="D348" s="314"/>
      <c r="E348" s="319">
        <f t="shared" si="5"/>
        <v>0</v>
      </c>
      <c r="F348" s="344"/>
      <c r="G348" s="344"/>
      <c r="H348" s="319">
        <v>0</v>
      </c>
    </row>
    <row r="349" spans="1:8">
      <c r="A349" s="386" t="s">
        <v>1967</v>
      </c>
      <c r="B349" s="793" t="s">
        <v>426</v>
      </c>
      <c r="C349" s="309" t="s">
        <v>1742</v>
      </c>
      <c r="D349" s="311"/>
      <c r="E349" s="355"/>
      <c r="F349" s="355"/>
      <c r="G349" s="355"/>
      <c r="H349" s="355">
        <v>0</v>
      </c>
    </row>
    <row r="350" spans="1:8">
      <c r="A350" s="386" t="s">
        <v>1969</v>
      </c>
      <c r="B350" s="793" t="s">
        <v>428</v>
      </c>
      <c r="C350" s="309" t="s">
        <v>1743</v>
      </c>
      <c r="D350" s="311"/>
      <c r="E350" s="355"/>
      <c r="F350" s="355"/>
      <c r="G350" s="355"/>
      <c r="H350" s="355">
        <v>0</v>
      </c>
    </row>
    <row r="351" spans="1:8">
      <c r="A351" s="375" t="s">
        <v>1970</v>
      </c>
      <c r="B351" s="792">
        <v>720200200100000</v>
      </c>
      <c r="C351" s="313" t="s">
        <v>427</v>
      </c>
      <c r="D351" s="314"/>
      <c r="E351" s="319">
        <f t="shared" si="5"/>
        <v>103464.5</v>
      </c>
      <c r="F351" s="344">
        <v>103464.5</v>
      </c>
      <c r="G351" s="344"/>
      <c r="H351" s="319">
        <v>2411121</v>
      </c>
    </row>
    <row r="352" spans="1:8">
      <c r="A352" s="386" t="s">
        <v>1969</v>
      </c>
      <c r="B352" s="793" t="s">
        <v>430</v>
      </c>
      <c r="C352" s="309" t="s">
        <v>1744</v>
      </c>
      <c r="D352" s="311" t="s">
        <v>1248</v>
      </c>
      <c r="E352" s="355"/>
      <c r="F352" s="355"/>
      <c r="G352" s="355"/>
      <c r="H352" s="355">
        <v>0</v>
      </c>
    </row>
    <row r="353" spans="1:8">
      <c r="A353" s="375" t="s">
        <v>1970</v>
      </c>
      <c r="B353" s="792">
        <v>720200200150000</v>
      </c>
      <c r="C353" s="313" t="s">
        <v>429</v>
      </c>
      <c r="D353" s="314" t="s">
        <v>1248</v>
      </c>
      <c r="E353" s="319">
        <f t="shared" si="5"/>
        <v>0</v>
      </c>
      <c r="F353" s="344"/>
      <c r="G353" s="344"/>
      <c r="H353" s="319">
        <v>60049.45</v>
      </c>
    </row>
    <row r="354" spans="1:8">
      <c r="A354" s="386" t="s">
        <v>1969</v>
      </c>
      <c r="B354" s="793" t="s">
        <v>431</v>
      </c>
      <c r="C354" s="309" t="s">
        <v>1745</v>
      </c>
      <c r="D354" s="311"/>
      <c r="E354" s="355"/>
      <c r="F354" s="355"/>
      <c r="G354" s="355"/>
      <c r="H354" s="355">
        <v>0</v>
      </c>
    </row>
    <row r="355" spans="1:8">
      <c r="A355" s="386" t="s">
        <v>1970</v>
      </c>
      <c r="B355" s="793" t="s">
        <v>433</v>
      </c>
      <c r="C355" s="309" t="s">
        <v>1746</v>
      </c>
      <c r="D355" s="311"/>
      <c r="E355" s="355"/>
      <c r="F355" s="355"/>
      <c r="G355" s="355"/>
      <c r="H355" s="355">
        <v>0</v>
      </c>
    </row>
    <row r="356" spans="1:8">
      <c r="A356" s="375" t="s">
        <v>2017</v>
      </c>
      <c r="B356" s="792">
        <v>720200200201000</v>
      </c>
      <c r="C356" s="313" t="s">
        <v>432</v>
      </c>
      <c r="D356" s="314"/>
      <c r="E356" s="319">
        <f t="shared" si="5"/>
        <v>0</v>
      </c>
      <c r="F356" s="344"/>
      <c r="G356" s="344"/>
      <c r="H356" s="319">
        <v>0</v>
      </c>
    </row>
    <row r="357" spans="1:8">
      <c r="A357" s="386" t="s">
        <v>1970</v>
      </c>
      <c r="B357" s="793" t="s">
        <v>435</v>
      </c>
      <c r="C357" s="309" t="s">
        <v>1747</v>
      </c>
      <c r="D357" s="311"/>
      <c r="E357" s="355"/>
      <c r="F357" s="355"/>
      <c r="G357" s="355"/>
      <c r="H357" s="355">
        <v>0</v>
      </c>
    </row>
    <row r="358" spans="1:8">
      <c r="A358" s="375" t="s">
        <v>2017</v>
      </c>
      <c r="B358" s="792">
        <v>720200200202000</v>
      </c>
      <c r="C358" s="313" t="s">
        <v>434</v>
      </c>
      <c r="D358" s="314"/>
      <c r="E358" s="319">
        <f t="shared" si="5"/>
        <v>13699.49</v>
      </c>
      <c r="F358" s="344">
        <f>0.09+13699.4</f>
        <v>13699.49</v>
      </c>
      <c r="G358" s="344"/>
      <c r="H358" s="319">
        <v>3093.92</v>
      </c>
    </row>
    <row r="359" spans="1:8" ht="25.5">
      <c r="A359" s="386" t="s">
        <v>1970</v>
      </c>
      <c r="B359" s="793" t="s">
        <v>437</v>
      </c>
      <c r="C359" s="309" t="s">
        <v>1748</v>
      </c>
      <c r="D359" s="311"/>
      <c r="E359" s="355"/>
      <c r="F359" s="355"/>
      <c r="G359" s="355"/>
      <c r="H359" s="355">
        <v>0</v>
      </c>
    </row>
    <row r="360" spans="1:8">
      <c r="A360" s="375" t="s">
        <v>2017</v>
      </c>
      <c r="B360" s="792">
        <v>720200200203000</v>
      </c>
      <c r="C360" s="313" t="s">
        <v>436</v>
      </c>
      <c r="D360" s="314"/>
      <c r="E360" s="319">
        <f t="shared" si="5"/>
        <v>0</v>
      </c>
      <c r="F360" s="344"/>
      <c r="G360" s="344"/>
      <c r="H360" s="319">
        <v>0</v>
      </c>
    </row>
    <row r="361" spans="1:8" ht="25.5">
      <c r="A361" s="386" t="s">
        <v>1970</v>
      </c>
      <c r="B361" s="793" t="s">
        <v>439</v>
      </c>
      <c r="C361" s="309" t="s">
        <v>1749</v>
      </c>
      <c r="D361" s="311"/>
      <c r="E361" s="355"/>
      <c r="F361" s="355"/>
      <c r="G361" s="355"/>
      <c r="H361" s="355">
        <v>0</v>
      </c>
    </row>
    <row r="362" spans="1:8">
      <c r="A362" s="375" t="s">
        <v>2017</v>
      </c>
      <c r="B362" s="792">
        <v>720200200204000</v>
      </c>
      <c r="C362" s="313" t="s">
        <v>438</v>
      </c>
      <c r="D362" s="314"/>
      <c r="E362" s="319">
        <f t="shared" si="5"/>
        <v>0</v>
      </c>
      <c r="F362" s="344"/>
      <c r="G362" s="344"/>
      <c r="H362" s="319">
        <v>0</v>
      </c>
    </row>
    <row r="363" spans="1:8" ht="25.5">
      <c r="A363" s="386" t="s">
        <v>1970</v>
      </c>
      <c r="B363" s="793" t="s">
        <v>441</v>
      </c>
      <c r="C363" s="309" t="s">
        <v>1750</v>
      </c>
      <c r="D363" s="311"/>
      <c r="E363" s="355"/>
      <c r="F363" s="355"/>
      <c r="G363" s="355"/>
      <c r="H363" s="355">
        <v>0</v>
      </c>
    </row>
    <row r="364" spans="1:8" ht="24">
      <c r="A364" s="375" t="s">
        <v>2017</v>
      </c>
      <c r="B364" s="792">
        <v>720200200205000</v>
      </c>
      <c r="C364" s="313" t="s">
        <v>440</v>
      </c>
      <c r="D364" s="314"/>
      <c r="E364" s="319">
        <f t="shared" si="5"/>
        <v>0</v>
      </c>
      <c r="F364" s="344"/>
      <c r="G364" s="344"/>
      <c r="H364" s="319">
        <v>0</v>
      </c>
    </row>
    <row r="365" spans="1:8">
      <c r="A365" s="386" t="s">
        <v>1970</v>
      </c>
      <c r="B365" s="793" t="s">
        <v>443</v>
      </c>
      <c r="C365" s="309" t="s">
        <v>1751</v>
      </c>
      <c r="D365" s="311"/>
      <c r="E365" s="355"/>
      <c r="F365" s="355"/>
      <c r="G365" s="355"/>
      <c r="H365" s="355">
        <v>0</v>
      </c>
    </row>
    <row r="366" spans="1:8">
      <c r="A366" s="375" t="s">
        <v>2017</v>
      </c>
      <c r="B366" s="792">
        <v>720200200206000</v>
      </c>
      <c r="C366" s="313" t="s">
        <v>442</v>
      </c>
      <c r="D366" s="314"/>
      <c r="E366" s="319">
        <f t="shared" si="5"/>
        <v>3.41</v>
      </c>
      <c r="F366" s="344">
        <v>3.41</v>
      </c>
      <c r="G366" s="344"/>
      <c r="H366" s="319">
        <v>321.62</v>
      </c>
    </row>
    <row r="367" spans="1:8">
      <c r="A367" s="386" t="s">
        <v>1970</v>
      </c>
      <c r="B367" s="793" t="s">
        <v>445</v>
      </c>
      <c r="C367" s="309" t="s">
        <v>1752</v>
      </c>
      <c r="D367" s="311"/>
      <c r="E367" s="355"/>
      <c r="F367" s="355"/>
      <c r="G367" s="355"/>
      <c r="H367" s="355">
        <v>0</v>
      </c>
    </row>
    <row r="368" spans="1:8">
      <c r="A368" s="375" t="s">
        <v>2017</v>
      </c>
      <c r="B368" s="792">
        <v>720200200209000</v>
      </c>
      <c r="C368" s="313" t="s">
        <v>444</v>
      </c>
      <c r="D368" s="314"/>
      <c r="E368" s="319">
        <f t="shared" si="5"/>
        <v>1150982.4600000002</v>
      </c>
      <c r="F368" s="344">
        <f>1268146.36-13699.4-103464.5</f>
        <v>1150982.4600000002</v>
      </c>
      <c r="G368" s="344"/>
      <c r="H368" s="319">
        <v>2638611.5699999998</v>
      </c>
    </row>
    <row r="369" spans="1:8">
      <c r="A369" s="386" t="s">
        <v>1967</v>
      </c>
      <c r="B369" s="793" t="s">
        <v>1753</v>
      </c>
      <c r="C369" s="309" t="s">
        <v>2590</v>
      </c>
      <c r="D369" s="311"/>
      <c r="E369" s="355"/>
      <c r="F369" s="355"/>
      <c r="G369" s="355"/>
      <c r="H369" s="355">
        <v>0</v>
      </c>
    </row>
    <row r="370" spans="1:8">
      <c r="A370" s="386" t="s">
        <v>1969</v>
      </c>
      <c r="B370" s="793" t="s">
        <v>447</v>
      </c>
      <c r="C370" s="309" t="s">
        <v>1755</v>
      </c>
      <c r="D370" s="311" t="s">
        <v>1248</v>
      </c>
      <c r="E370" s="355"/>
      <c r="F370" s="355"/>
      <c r="G370" s="355"/>
      <c r="H370" s="355">
        <v>0</v>
      </c>
    </row>
    <row r="371" spans="1:8">
      <c r="A371" s="375" t="s">
        <v>1970</v>
      </c>
      <c r="B371" s="792">
        <v>720200300100000</v>
      </c>
      <c r="C371" s="313" t="s">
        <v>446</v>
      </c>
      <c r="D371" s="314" t="s">
        <v>1248</v>
      </c>
      <c r="E371" s="319">
        <f t="shared" si="5"/>
        <v>168</v>
      </c>
      <c r="F371" s="344">
        <v>168</v>
      </c>
      <c r="G371" s="344"/>
      <c r="H371" s="319">
        <v>0</v>
      </c>
    </row>
    <row r="372" spans="1:8">
      <c r="A372" s="386" t="s">
        <v>1969</v>
      </c>
      <c r="B372" s="793" t="s">
        <v>1756</v>
      </c>
      <c r="C372" s="309" t="s">
        <v>1757</v>
      </c>
      <c r="D372" s="311"/>
      <c r="E372" s="355"/>
      <c r="F372" s="355"/>
      <c r="G372" s="355"/>
      <c r="H372" s="355">
        <v>0</v>
      </c>
    </row>
    <row r="373" spans="1:8">
      <c r="A373" s="386" t="s">
        <v>1970</v>
      </c>
      <c r="B373" s="793" t="s">
        <v>449</v>
      </c>
      <c r="C373" s="309" t="s">
        <v>1758</v>
      </c>
      <c r="D373" s="311"/>
      <c r="E373" s="355"/>
      <c r="F373" s="355"/>
      <c r="G373" s="355"/>
      <c r="H373" s="355">
        <v>0</v>
      </c>
    </row>
    <row r="374" spans="1:8">
      <c r="A374" s="375" t="s">
        <v>2017</v>
      </c>
      <c r="B374" s="792">
        <v>720200300201000</v>
      </c>
      <c r="C374" s="313" t="s">
        <v>448</v>
      </c>
      <c r="D374" s="314"/>
      <c r="E374" s="319">
        <f t="shared" si="5"/>
        <v>0</v>
      </c>
      <c r="F374" s="344"/>
      <c r="G374" s="344"/>
      <c r="H374" s="319">
        <v>0</v>
      </c>
    </row>
    <row r="375" spans="1:8">
      <c r="A375" s="386" t="s">
        <v>1970</v>
      </c>
      <c r="B375" s="793" t="s">
        <v>451</v>
      </c>
      <c r="C375" s="309" t="s">
        <v>1759</v>
      </c>
      <c r="D375" s="311"/>
      <c r="E375" s="355"/>
      <c r="F375" s="355"/>
      <c r="G375" s="355"/>
      <c r="H375" s="355">
        <v>0</v>
      </c>
    </row>
    <row r="376" spans="1:8">
      <c r="A376" s="375" t="s">
        <v>2017</v>
      </c>
      <c r="B376" s="792">
        <v>720200300202000</v>
      </c>
      <c r="C376" s="313" t="s">
        <v>450</v>
      </c>
      <c r="D376" s="314"/>
      <c r="E376" s="327">
        <f t="shared" si="5"/>
        <v>0</v>
      </c>
      <c r="F376" s="346"/>
      <c r="G376" s="346"/>
      <c r="H376" s="327">
        <v>0</v>
      </c>
    </row>
    <row r="377" spans="1:8">
      <c r="A377" s="386" t="s">
        <v>1970</v>
      </c>
      <c r="B377" s="793" t="s">
        <v>453</v>
      </c>
      <c r="C377" s="309" t="s">
        <v>1760</v>
      </c>
      <c r="D377" s="311"/>
      <c r="E377" s="355"/>
      <c r="F377" s="355"/>
      <c r="G377" s="355"/>
      <c r="H377" s="355">
        <v>0</v>
      </c>
    </row>
    <row r="378" spans="1:8">
      <c r="A378" s="375" t="s">
        <v>2017</v>
      </c>
      <c r="B378" s="792">
        <v>720200300203000</v>
      </c>
      <c r="C378" s="313" t="s">
        <v>452</v>
      </c>
      <c r="D378" s="314"/>
      <c r="E378" s="319">
        <f t="shared" si="5"/>
        <v>0</v>
      </c>
      <c r="F378" s="344"/>
      <c r="G378" s="344"/>
      <c r="H378" s="319">
        <v>0</v>
      </c>
    </row>
    <row r="379" spans="1:8">
      <c r="A379" s="386" t="s">
        <v>1970</v>
      </c>
      <c r="B379" s="793" t="s">
        <v>455</v>
      </c>
      <c r="C379" s="309" t="s">
        <v>1761</v>
      </c>
      <c r="D379" s="311"/>
      <c r="E379" s="355"/>
      <c r="F379" s="355"/>
      <c r="G379" s="355"/>
      <c r="H379" s="355">
        <v>0</v>
      </c>
    </row>
    <row r="380" spans="1:8">
      <c r="A380" s="375" t="s">
        <v>2017</v>
      </c>
      <c r="B380" s="792">
        <v>720200300204000</v>
      </c>
      <c r="C380" s="313" t="s">
        <v>454</v>
      </c>
      <c r="D380" s="314"/>
      <c r="E380" s="319">
        <f t="shared" si="5"/>
        <v>0</v>
      </c>
      <c r="F380" s="344"/>
      <c r="G380" s="344"/>
      <c r="H380" s="319">
        <v>0</v>
      </c>
    </row>
    <row r="381" spans="1:8" ht="25.5">
      <c r="A381" s="386" t="s">
        <v>1970</v>
      </c>
      <c r="B381" s="793" t="s">
        <v>457</v>
      </c>
      <c r="C381" s="309" t="s">
        <v>1762</v>
      </c>
      <c r="D381" s="311"/>
      <c r="E381" s="355"/>
      <c r="F381" s="355"/>
      <c r="G381" s="355"/>
      <c r="H381" s="355">
        <v>0</v>
      </c>
    </row>
    <row r="382" spans="1:8" ht="24">
      <c r="A382" s="375" t="s">
        <v>2017</v>
      </c>
      <c r="B382" s="792">
        <v>720200300205000</v>
      </c>
      <c r="C382" s="313" t="s">
        <v>456</v>
      </c>
      <c r="D382" s="314"/>
      <c r="E382" s="319">
        <f t="shared" si="5"/>
        <v>0</v>
      </c>
      <c r="F382" s="344"/>
      <c r="G382" s="344"/>
      <c r="H382" s="319">
        <v>0</v>
      </c>
    </row>
    <row r="383" spans="1:8">
      <c r="A383" s="386" t="s">
        <v>1970</v>
      </c>
      <c r="B383" s="793" t="s">
        <v>459</v>
      </c>
      <c r="C383" s="309" t="s">
        <v>1763</v>
      </c>
      <c r="D383" s="311"/>
      <c r="E383" s="355"/>
      <c r="F383" s="355"/>
      <c r="G383" s="355"/>
      <c r="H383" s="355">
        <v>0</v>
      </c>
    </row>
    <row r="384" spans="1:8">
      <c r="A384" s="375" t="s">
        <v>2017</v>
      </c>
      <c r="B384" s="792">
        <v>720200300206000</v>
      </c>
      <c r="C384" s="313" t="s">
        <v>458</v>
      </c>
      <c r="D384" s="314"/>
      <c r="E384" s="319">
        <f t="shared" si="5"/>
        <v>0</v>
      </c>
      <c r="F384" s="344"/>
      <c r="G384" s="344"/>
      <c r="H384" s="319">
        <v>0</v>
      </c>
    </row>
    <row r="385" spans="1:188">
      <c r="A385" s="386" t="s">
        <v>1970</v>
      </c>
      <c r="B385" s="793" t="s">
        <v>461</v>
      </c>
      <c r="C385" s="309" t="s">
        <v>1764</v>
      </c>
      <c r="D385" s="311"/>
      <c r="E385" s="355"/>
      <c r="F385" s="355"/>
      <c r="G385" s="355"/>
      <c r="H385" s="355">
        <v>0</v>
      </c>
    </row>
    <row r="386" spans="1:188">
      <c r="A386" s="375" t="s">
        <v>2017</v>
      </c>
      <c r="B386" s="792">
        <v>720200300209000</v>
      </c>
      <c r="C386" s="313" t="s">
        <v>460</v>
      </c>
      <c r="D386" s="314"/>
      <c r="E386" s="319">
        <f t="shared" si="5"/>
        <v>12355.88</v>
      </c>
      <c r="F386" s="344">
        <v>12355.88</v>
      </c>
      <c r="G386" s="344"/>
      <c r="H386" s="319">
        <v>22179.18</v>
      </c>
    </row>
    <row r="387" spans="1:188">
      <c r="A387" s="386" t="s">
        <v>1967</v>
      </c>
      <c r="B387" s="793" t="s">
        <v>462</v>
      </c>
      <c r="C387" s="309" t="s">
        <v>1765</v>
      </c>
      <c r="D387" s="311"/>
      <c r="E387" s="355"/>
      <c r="F387" s="355"/>
      <c r="G387" s="355"/>
      <c r="H387" s="355">
        <v>0</v>
      </c>
    </row>
    <row r="388" spans="1:188" ht="13.5" thickBot="1">
      <c r="A388" s="376" t="s">
        <v>1969</v>
      </c>
      <c r="B388" s="796">
        <v>720200400000000</v>
      </c>
      <c r="C388" s="378" t="s">
        <v>422</v>
      </c>
      <c r="D388" s="379"/>
      <c r="E388" s="390">
        <f t="shared" si="5"/>
        <v>16.73</v>
      </c>
      <c r="F388" s="802">
        <v>16.73</v>
      </c>
      <c r="G388" s="390"/>
      <c r="H388" s="390">
        <v>415.25</v>
      </c>
    </row>
    <row r="389" spans="1:188" s="331" customFormat="1">
      <c r="A389" s="370"/>
      <c r="B389" s="371"/>
      <c r="C389" s="372" t="s">
        <v>1860</v>
      </c>
      <c r="D389" s="373"/>
      <c r="E389" s="374">
        <f t="shared" ref="E389:H389" si="6">SUM(E7:E388)</f>
        <v>581477355.26000011</v>
      </c>
      <c r="F389" s="374">
        <f t="shared" si="6"/>
        <v>581477355.26000011</v>
      </c>
      <c r="G389" s="374">
        <f t="shared" si="6"/>
        <v>0</v>
      </c>
      <c r="H389" s="374">
        <f t="shared" si="6"/>
        <v>513256834.44999993</v>
      </c>
    </row>
    <row r="390" spans="1:188" s="331" customFormat="1">
      <c r="A390" s="375"/>
      <c r="B390" s="312"/>
      <c r="C390" s="313" t="s">
        <v>2594</v>
      </c>
      <c r="D390" s="314"/>
      <c r="E390" s="327">
        <f>+'Alim CE Costi'!E1243</f>
        <v>580630050.45000005</v>
      </c>
      <c r="F390" s="327">
        <f>+'Alim CE Costi'!F1243</f>
        <v>580630050.45000005</v>
      </c>
      <c r="G390" s="327">
        <f>+'Alim CE Costi'!G1243</f>
        <v>0</v>
      </c>
      <c r="H390" s="327">
        <f>+'Alim CE Costi'!H1243</f>
        <v>510381872.98360014</v>
      </c>
    </row>
    <row r="391" spans="1:188" s="331" customFormat="1" ht="13.5" thickBot="1">
      <c r="A391" s="376"/>
      <c r="B391" s="377"/>
      <c r="C391" s="378" t="s">
        <v>1815</v>
      </c>
      <c r="D391" s="379"/>
      <c r="E391" s="380">
        <f t="shared" ref="E391:H391" si="7">+E389-E390</f>
        <v>847304.81000006199</v>
      </c>
      <c r="F391" s="380">
        <f t="shared" si="7"/>
        <v>847304.81000006199</v>
      </c>
      <c r="G391" s="380">
        <f t="shared" si="7"/>
        <v>0</v>
      </c>
      <c r="H391" s="380">
        <f t="shared" si="7"/>
        <v>2874961.4663997889</v>
      </c>
    </row>
    <row r="392" spans="1:188">
      <c r="A392" s="143"/>
      <c r="B392" s="143"/>
      <c r="C392" s="47"/>
      <c r="D392" s="48"/>
      <c r="E392" s="45"/>
      <c r="F392" s="45"/>
      <c r="G392" s="45"/>
      <c r="H392" s="45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</row>
    <row r="393" spans="1:188">
      <c r="A393" s="143"/>
      <c r="B393" s="143"/>
      <c r="C393" s="47"/>
      <c r="D393" s="48"/>
      <c r="E393" s="45"/>
      <c r="F393" s="45"/>
      <c r="G393" s="45"/>
      <c r="H393" s="45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</row>
    <row r="394" spans="1:188">
      <c r="A394" s="143"/>
      <c r="B394" s="143"/>
      <c r="C394" s="47"/>
      <c r="D394" s="48"/>
      <c r="E394" s="45"/>
      <c r="F394" s="45"/>
      <c r="G394" s="45"/>
      <c r="H394" s="45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</row>
    <row r="395" spans="1:188">
      <c r="A395" s="143"/>
      <c r="B395" s="143"/>
      <c r="C395" s="47"/>
      <c r="D395" s="48"/>
      <c r="E395" s="45"/>
      <c r="F395" s="45"/>
      <c r="G395" s="45"/>
      <c r="H395" s="45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</row>
    <row r="396" spans="1:188">
      <c r="A396" s="143"/>
      <c r="B396" s="143"/>
      <c r="C396" s="47"/>
      <c r="D396" s="48"/>
      <c r="E396" s="45"/>
      <c r="F396" s="45"/>
      <c r="G396" s="45"/>
      <c r="H396" s="45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</row>
    <row r="397" spans="1:188">
      <c r="A397" s="143"/>
      <c r="B397" s="143"/>
      <c r="C397" s="47"/>
      <c r="D397" s="48"/>
      <c r="E397" s="45"/>
      <c r="F397" s="45"/>
      <c r="G397" s="45"/>
      <c r="H397" s="45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</row>
    <row r="398" spans="1:188">
      <c r="A398" s="143"/>
      <c r="B398" s="143"/>
      <c r="C398" s="47"/>
      <c r="D398" s="48"/>
      <c r="E398" s="45"/>
      <c r="F398" s="45"/>
      <c r="G398" s="45"/>
      <c r="H398" s="45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</row>
    <row r="399" spans="1:188">
      <c r="A399" s="143"/>
      <c r="B399" s="143"/>
      <c r="C399" s="47"/>
      <c r="D399" s="48"/>
      <c r="E399" s="45"/>
      <c r="F399" s="45"/>
      <c r="G399" s="45"/>
      <c r="H399" s="45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</row>
    <row r="400" spans="1:188">
      <c r="A400" s="143"/>
      <c r="B400" s="143"/>
      <c r="C400" s="47"/>
      <c r="D400" s="48"/>
      <c r="E400" s="45"/>
      <c r="F400" s="45"/>
      <c r="G400" s="45"/>
      <c r="H400" s="45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  <c r="FI400" s="46"/>
      <c r="FJ400" s="46"/>
      <c r="FK400" s="46"/>
      <c r="FL400" s="46"/>
      <c r="FM400" s="46"/>
      <c r="FN400" s="46"/>
      <c r="FO400" s="46"/>
      <c r="FP400" s="46"/>
      <c r="FQ400" s="46"/>
      <c r="FR400" s="46"/>
      <c r="FS400" s="46"/>
      <c r="FT400" s="46"/>
      <c r="FU400" s="46"/>
      <c r="FV400" s="46"/>
      <c r="FW400" s="46"/>
      <c r="FX400" s="46"/>
      <c r="FY400" s="46"/>
      <c r="FZ400" s="46"/>
      <c r="GA400" s="46"/>
      <c r="GB400" s="46"/>
      <c r="GC400" s="46"/>
      <c r="GD400" s="46"/>
      <c r="GE400" s="46"/>
      <c r="GF400" s="46"/>
    </row>
    <row r="401" spans="1:188">
      <c r="A401" s="143"/>
      <c r="B401" s="143"/>
      <c r="C401" s="47"/>
      <c r="D401" s="48"/>
      <c r="E401" s="45"/>
      <c r="F401" s="45"/>
      <c r="G401" s="45"/>
      <c r="H401" s="45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</row>
    <row r="402" spans="1:188">
      <c r="A402" s="143"/>
      <c r="B402" s="143"/>
      <c r="C402" s="47"/>
      <c r="D402" s="48"/>
      <c r="E402" s="45"/>
      <c r="F402" s="45"/>
      <c r="G402" s="45"/>
      <c r="H402" s="45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</row>
    <row r="403" spans="1:188">
      <c r="A403" s="143"/>
      <c r="B403" s="143"/>
      <c r="C403" s="47"/>
      <c r="D403" s="48"/>
      <c r="E403" s="45"/>
      <c r="F403" s="45"/>
      <c r="G403" s="45"/>
      <c r="H403" s="45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</row>
    <row r="404" spans="1:188">
      <c r="A404" s="143"/>
      <c r="B404" s="143"/>
      <c r="C404" s="47"/>
      <c r="D404" s="48"/>
      <c r="E404" s="45"/>
      <c r="F404" s="45"/>
      <c r="G404" s="45"/>
      <c r="H404" s="45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</row>
    <row r="405" spans="1:188">
      <c r="A405" s="143"/>
      <c r="B405" s="143"/>
      <c r="C405" s="47"/>
      <c r="D405" s="48"/>
      <c r="E405" s="45"/>
      <c r="F405" s="45"/>
      <c r="G405" s="45"/>
      <c r="H405" s="45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</row>
    <row r="406" spans="1:188">
      <c r="A406" s="143"/>
      <c r="B406" s="143"/>
      <c r="C406" s="47"/>
      <c r="D406" s="48"/>
      <c r="E406" s="45"/>
      <c r="F406" s="45"/>
      <c r="G406" s="45"/>
      <c r="H406" s="45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</row>
    <row r="407" spans="1:188">
      <c r="A407" s="143"/>
      <c r="B407" s="143"/>
      <c r="C407" s="47"/>
      <c r="D407" s="48"/>
      <c r="E407" s="45"/>
      <c r="F407" s="45"/>
      <c r="G407" s="45"/>
      <c r="H407" s="45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</row>
    <row r="408" spans="1:188">
      <c r="A408" s="143"/>
      <c r="B408" s="143"/>
      <c r="C408" s="47"/>
      <c r="D408" s="48"/>
      <c r="E408" s="45"/>
      <c r="F408" s="45"/>
      <c r="G408" s="45"/>
      <c r="H408" s="45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</row>
    <row r="409" spans="1:188">
      <c r="A409" s="143"/>
      <c r="B409" s="143"/>
      <c r="C409" s="47"/>
      <c r="D409" s="48"/>
      <c r="E409" s="45"/>
      <c r="F409" s="45"/>
      <c r="G409" s="45"/>
      <c r="H409" s="45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</row>
    <row r="410" spans="1:188">
      <c r="A410" s="143"/>
      <c r="B410" s="143"/>
      <c r="C410" s="47"/>
      <c r="D410" s="48"/>
      <c r="E410" s="45"/>
      <c r="F410" s="45"/>
      <c r="G410" s="45"/>
      <c r="H410" s="45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</row>
    <row r="411" spans="1:188">
      <c r="A411" s="143"/>
      <c r="B411" s="143"/>
      <c r="C411" s="47"/>
      <c r="D411" s="48"/>
      <c r="E411" s="45"/>
      <c r="F411" s="45"/>
      <c r="G411" s="45"/>
      <c r="H411" s="45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  <c r="FI411" s="46"/>
      <c r="FJ411" s="46"/>
      <c r="FK411" s="46"/>
      <c r="FL411" s="46"/>
      <c r="FM411" s="46"/>
      <c r="FN411" s="46"/>
      <c r="FO411" s="46"/>
      <c r="FP411" s="46"/>
      <c r="FQ411" s="46"/>
      <c r="FR411" s="46"/>
      <c r="FS411" s="46"/>
      <c r="FT411" s="46"/>
      <c r="FU411" s="46"/>
      <c r="FV411" s="46"/>
      <c r="FW411" s="46"/>
      <c r="FX411" s="46"/>
      <c r="FY411" s="46"/>
      <c r="FZ411" s="46"/>
      <c r="GA411" s="46"/>
      <c r="GB411" s="46"/>
      <c r="GC411" s="46"/>
      <c r="GD411" s="46"/>
      <c r="GE411" s="46"/>
      <c r="GF411" s="46"/>
    </row>
    <row r="412" spans="1:188">
      <c r="A412" s="143"/>
      <c r="B412" s="143"/>
      <c r="C412" s="47"/>
      <c r="D412" s="48"/>
      <c r="E412" s="45"/>
      <c r="F412" s="45"/>
      <c r="G412" s="45"/>
      <c r="H412" s="45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</row>
    <row r="413" spans="1:188">
      <c r="A413" s="143"/>
      <c r="B413" s="143"/>
      <c r="C413" s="47"/>
      <c r="D413" s="48"/>
      <c r="E413" s="45"/>
      <c r="F413" s="45"/>
      <c r="G413" s="45"/>
      <c r="H413" s="45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</row>
    <row r="414" spans="1:188">
      <c r="A414" s="143"/>
      <c r="B414" s="143"/>
      <c r="C414" s="47"/>
      <c r="D414" s="48"/>
      <c r="E414" s="45"/>
      <c r="F414" s="45"/>
      <c r="G414" s="45"/>
      <c r="H414" s="45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  <c r="FI414" s="46"/>
      <c r="FJ414" s="46"/>
      <c r="FK414" s="46"/>
      <c r="FL414" s="46"/>
      <c r="FM414" s="46"/>
      <c r="FN414" s="46"/>
      <c r="FO414" s="46"/>
      <c r="FP414" s="46"/>
      <c r="FQ414" s="46"/>
      <c r="FR414" s="46"/>
      <c r="FS414" s="46"/>
      <c r="FT414" s="46"/>
      <c r="FU414" s="46"/>
      <c r="FV414" s="46"/>
      <c r="FW414" s="46"/>
      <c r="FX414" s="46"/>
      <c r="FY414" s="46"/>
      <c r="FZ414" s="46"/>
      <c r="GA414" s="46"/>
      <c r="GB414" s="46"/>
      <c r="GC414" s="46"/>
      <c r="GD414" s="46"/>
      <c r="GE414" s="46"/>
      <c r="GF414" s="46"/>
    </row>
    <row r="415" spans="1:188">
      <c r="A415" s="143"/>
      <c r="B415" s="143"/>
      <c r="C415" s="47"/>
      <c r="D415" s="48"/>
      <c r="E415" s="45"/>
      <c r="F415" s="45"/>
      <c r="G415" s="45"/>
      <c r="H415" s="45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</row>
    <row r="416" spans="1:188">
      <c r="A416" s="143"/>
      <c r="B416" s="143"/>
      <c r="C416" s="47"/>
      <c r="D416" s="48"/>
      <c r="E416" s="45"/>
      <c r="F416" s="45"/>
      <c r="G416" s="45"/>
      <c r="H416" s="45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  <c r="FI416" s="46"/>
      <c r="FJ416" s="46"/>
      <c r="FK416" s="46"/>
      <c r="FL416" s="46"/>
      <c r="FM416" s="46"/>
      <c r="FN416" s="46"/>
      <c r="FO416" s="46"/>
      <c r="FP416" s="46"/>
      <c r="FQ416" s="46"/>
      <c r="FR416" s="46"/>
      <c r="FS416" s="46"/>
      <c r="FT416" s="46"/>
      <c r="FU416" s="46"/>
      <c r="FV416" s="46"/>
      <c r="FW416" s="46"/>
      <c r="FX416" s="46"/>
      <c r="FY416" s="46"/>
      <c r="FZ416" s="46"/>
      <c r="GA416" s="46"/>
      <c r="GB416" s="46"/>
      <c r="GC416" s="46"/>
      <c r="GD416" s="46"/>
      <c r="GE416" s="46"/>
      <c r="GF416" s="46"/>
    </row>
    <row r="417" spans="1:188">
      <c r="A417" s="143"/>
      <c r="B417" s="143"/>
      <c r="C417" s="47"/>
      <c r="D417" s="48"/>
      <c r="E417" s="45"/>
      <c r="F417" s="45"/>
      <c r="G417" s="45"/>
      <c r="H417" s="45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</row>
    <row r="418" spans="1:188">
      <c r="A418" s="143"/>
      <c r="B418" s="143"/>
      <c r="C418" s="47"/>
      <c r="D418" s="48"/>
      <c r="E418" s="45"/>
      <c r="F418" s="45"/>
      <c r="G418" s="45"/>
      <c r="H418" s="45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  <c r="FI418" s="46"/>
      <c r="FJ418" s="46"/>
      <c r="FK418" s="46"/>
      <c r="FL418" s="46"/>
      <c r="FM418" s="46"/>
      <c r="FN418" s="46"/>
      <c r="FO418" s="46"/>
      <c r="FP418" s="46"/>
      <c r="FQ418" s="46"/>
      <c r="FR418" s="46"/>
      <c r="FS418" s="46"/>
      <c r="FT418" s="46"/>
      <c r="FU418" s="46"/>
      <c r="FV418" s="46"/>
      <c r="FW418" s="46"/>
      <c r="FX418" s="46"/>
      <c r="FY418" s="46"/>
      <c r="FZ418" s="46"/>
      <c r="GA418" s="46"/>
      <c r="GB418" s="46"/>
      <c r="GC418" s="46"/>
      <c r="GD418" s="46"/>
      <c r="GE418" s="46"/>
      <c r="GF418" s="46"/>
    </row>
    <row r="419" spans="1:188">
      <c r="A419" s="143"/>
      <c r="B419" s="143"/>
      <c r="C419" s="47"/>
      <c r="D419" s="48"/>
      <c r="E419" s="45"/>
      <c r="F419" s="45"/>
      <c r="G419" s="45"/>
      <c r="H419" s="45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  <c r="FI419" s="46"/>
      <c r="FJ419" s="46"/>
      <c r="FK419" s="46"/>
      <c r="FL419" s="46"/>
      <c r="FM419" s="46"/>
      <c r="FN419" s="46"/>
      <c r="FO419" s="46"/>
      <c r="FP419" s="46"/>
      <c r="FQ419" s="46"/>
      <c r="FR419" s="46"/>
      <c r="FS419" s="46"/>
      <c r="FT419" s="46"/>
      <c r="FU419" s="46"/>
      <c r="FV419" s="46"/>
      <c r="FW419" s="46"/>
      <c r="FX419" s="46"/>
      <c r="FY419" s="46"/>
      <c r="FZ419" s="46"/>
      <c r="GA419" s="46"/>
      <c r="GB419" s="46"/>
      <c r="GC419" s="46"/>
      <c r="GD419" s="46"/>
      <c r="GE419" s="46"/>
      <c r="GF419" s="46"/>
    </row>
    <row r="420" spans="1:188">
      <c r="A420" s="143"/>
      <c r="B420" s="143"/>
      <c r="C420" s="47"/>
      <c r="D420" s="48"/>
      <c r="E420" s="45"/>
      <c r="F420" s="45"/>
      <c r="G420" s="45"/>
      <c r="H420" s="45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</row>
    <row r="421" spans="1:188">
      <c r="A421" s="143"/>
      <c r="B421" s="143"/>
      <c r="C421" s="47"/>
      <c r="D421" s="48"/>
      <c r="E421" s="45"/>
      <c r="F421" s="45"/>
      <c r="G421" s="45"/>
      <c r="H421" s="45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</row>
    <row r="422" spans="1:188">
      <c r="A422" s="143"/>
      <c r="B422" s="143"/>
      <c r="C422" s="47"/>
      <c r="D422" s="48"/>
      <c r="E422" s="45"/>
      <c r="F422" s="45"/>
      <c r="G422" s="45"/>
      <c r="H422" s="45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</row>
    <row r="423" spans="1:188">
      <c r="A423" s="143"/>
      <c r="B423" s="143"/>
      <c r="C423" s="47"/>
      <c r="D423" s="48"/>
      <c r="E423" s="45"/>
      <c r="F423" s="45"/>
      <c r="G423" s="45"/>
      <c r="H423" s="45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</row>
    <row r="424" spans="1:188">
      <c r="A424" s="143"/>
      <c r="B424" s="143"/>
      <c r="C424" s="47"/>
      <c r="D424" s="48"/>
      <c r="E424" s="45"/>
      <c r="F424" s="45"/>
      <c r="G424" s="45"/>
      <c r="H424" s="45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</row>
    <row r="425" spans="1:188">
      <c r="A425" s="143"/>
      <c r="B425" s="143"/>
      <c r="C425" s="47"/>
      <c r="D425" s="48"/>
      <c r="E425" s="45"/>
      <c r="F425" s="45"/>
      <c r="G425" s="45"/>
      <c r="H425" s="45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</row>
    <row r="426" spans="1:188">
      <c r="A426" s="143"/>
      <c r="B426" s="143"/>
      <c r="C426" s="47"/>
      <c r="D426" s="48"/>
      <c r="E426" s="45"/>
      <c r="F426" s="45"/>
      <c r="G426" s="45"/>
      <c r="H426" s="45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</row>
    <row r="427" spans="1:188">
      <c r="A427" s="143"/>
      <c r="B427" s="143"/>
      <c r="C427" s="47"/>
      <c r="D427" s="48"/>
      <c r="E427" s="45"/>
      <c r="F427" s="45"/>
      <c r="G427" s="45"/>
      <c r="H427" s="45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</row>
    <row r="428" spans="1:188">
      <c r="A428" s="143"/>
      <c r="B428" s="143"/>
      <c r="C428" s="47"/>
      <c r="D428" s="48"/>
      <c r="E428" s="45"/>
      <c r="F428" s="45"/>
      <c r="G428" s="45"/>
      <c r="H428" s="45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  <c r="FI428" s="46"/>
      <c r="FJ428" s="46"/>
      <c r="FK428" s="46"/>
      <c r="FL428" s="46"/>
      <c r="FM428" s="46"/>
      <c r="FN428" s="46"/>
      <c r="FO428" s="46"/>
      <c r="FP428" s="46"/>
      <c r="FQ428" s="46"/>
      <c r="FR428" s="46"/>
      <c r="FS428" s="46"/>
      <c r="FT428" s="46"/>
      <c r="FU428" s="46"/>
      <c r="FV428" s="46"/>
      <c r="FW428" s="46"/>
      <c r="FX428" s="46"/>
      <c r="FY428" s="46"/>
      <c r="FZ428" s="46"/>
      <c r="GA428" s="46"/>
      <c r="GB428" s="46"/>
      <c r="GC428" s="46"/>
      <c r="GD428" s="46"/>
      <c r="GE428" s="46"/>
      <c r="GF428" s="46"/>
    </row>
    <row r="429" spans="1:188">
      <c r="A429" s="143"/>
      <c r="B429" s="143"/>
      <c r="C429" s="47"/>
      <c r="D429" s="48"/>
      <c r="E429" s="45"/>
      <c r="F429" s="45"/>
      <c r="G429" s="45"/>
      <c r="H429" s="45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</row>
    <row r="430" spans="1:188">
      <c r="A430" s="143"/>
      <c r="B430" s="143"/>
      <c r="C430" s="47"/>
      <c r="D430" s="48"/>
      <c r="E430" s="45"/>
      <c r="F430" s="45"/>
      <c r="G430" s="45"/>
      <c r="H430" s="45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</row>
    <row r="431" spans="1:188">
      <c r="A431" s="143"/>
      <c r="B431" s="143"/>
      <c r="C431" s="47"/>
      <c r="D431" s="48"/>
      <c r="E431" s="45"/>
      <c r="F431" s="45"/>
      <c r="G431" s="45"/>
      <c r="H431" s="45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</row>
    <row r="432" spans="1:188">
      <c r="A432" s="143"/>
      <c r="B432" s="143"/>
      <c r="C432" s="47"/>
      <c r="D432" s="48"/>
      <c r="E432" s="45"/>
      <c r="F432" s="45"/>
      <c r="G432" s="45"/>
      <c r="H432" s="45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</row>
    <row r="433" spans="1:188">
      <c r="A433" s="143"/>
      <c r="B433" s="143"/>
      <c r="C433" s="47"/>
      <c r="D433" s="48"/>
      <c r="E433" s="45"/>
      <c r="F433" s="45"/>
      <c r="G433" s="45"/>
      <c r="H433" s="45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</row>
    <row r="434" spans="1:188">
      <c r="A434" s="143"/>
      <c r="B434" s="143"/>
      <c r="C434" s="47"/>
      <c r="D434" s="48"/>
      <c r="E434" s="45"/>
      <c r="F434" s="45"/>
      <c r="G434" s="45"/>
      <c r="H434" s="45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</row>
    <row r="435" spans="1:188">
      <c r="A435" s="143"/>
      <c r="B435" s="143"/>
      <c r="C435" s="47"/>
      <c r="D435" s="48"/>
      <c r="E435" s="45"/>
      <c r="F435" s="45"/>
      <c r="G435" s="45"/>
      <c r="H435" s="45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</row>
    <row r="436" spans="1:188">
      <c r="A436" s="143"/>
      <c r="B436" s="143"/>
      <c r="C436" s="47"/>
      <c r="D436" s="48"/>
      <c r="E436" s="45"/>
      <c r="F436" s="45"/>
      <c r="G436" s="45"/>
      <c r="H436" s="45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</row>
    <row r="437" spans="1:188">
      <c r="A437" s="143"/>
      <c r="B437" s="143"/>
      <c r="C437" s="47"/>
      <c r="D437" s="48"/>
      <c r="E437" s="45"/>
      <c r="F437" s="45"/>
      <c r="G437" s="45"/>
      <c r="H437" s="45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</row>
    <row r="438" spans="1:188">
      <c r="A438" s="143"/>
      <c r="B438" s="143"/>
      <c r="C438" s="47"/>
      <c r="D438" s="48"/>
      <c r="E438" s="45"/>
      <c r="F438" s="45"/>
      <c r="G438" s="45"/>
      <c r="H438" s="45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</row>
    <row r="439" spans="1:188">
      <c r="A439" s="143"/>
      <c r="B439" s="143"/>
      <c r="C439" s="47"/>
      <c r="D439" s="48"/>
      <c r="E439" s="45"/>
      <c r="F439" s="45"/>
      <c r="G439" s="45"/>
      <c r="H439" s="45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</row>
    <row r="440" spans="1:188">
      <c r="A440" s="143"/>
      <c r="B440" s="143"/>
      <c r="C440" s="47"/>
      <c r="D440" s="48"/>
      <c r="E440" s="45"/>
      <c r="F440" s="45"/>
      <c r="G440" s="45"/>
      <c r="H440" s="45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</row>
    <row r="441" spans="1:188">
      <c r="A441" s="143"/>
      <c r="B441" s="143"/>
      <c r="C441" s="47"/>
      <c r="D441" s="48"/>
      <c r="E441" s="45"/>
      <c r="F441" s="45"/>
      <c r="G441" s="45"/>
      <c r="H441" s="45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</row>
    <row r="442" spans="1:188">
      <c r="A442" s="143"/>
      <c r="B442" s="143"/>
      <c r="C442" s="47"/>
      <c r="D442" s="48"/>
      <c r="E442" s="45"/>
      <c r="F442" s="45"/>
      <c r="G442" s="45"/>
      <c r="H442" s="45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</row>
    <row r="443" spans="1:188">
      <c r="A443" s="143"/>
      <c r="B443" s="143"/>
      <c r="C443" s="47"/>
      <c r="D443" s="48"/>
      <c r="E443" s="45"/>
      <c r="F443" s="45"/>
      <c r="G443" s="45"/>
      <c r="H443" s="45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</row>
    <row r="444" spans="1:188">
      <c r="A444" s="143"/>
      <c r="B444" s="143"/>
      <c r="C444" s="47"/>
      <c r="D444" s="48"/>
      <c r="E444" s="45"/>
      <c r="F444" s="45"/>
      <c r="G444" s="45"/>
      <c r="H444" s="45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</row>
    <row r="445" spans="1:188">
      <c r="A445" s="143"/>
      <c r="B445" s="143"/>
      <c r="C445" s="47"/>
      <c r="D445" s="48"/>
      <c r="E445" s="45"/>
      <c r="F445" s="45"/>
      <c r="G445" s="45"/>
      <c r="H445" s="45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</row>
    <row r="446" spans="1:188">
      <c r="A446" s="143"/>
      <c r="B446" s="143"/>
      <c r="C446" s="47"/>
      <c r="D446" s="48"/>
      <c r="E446" s="45"/>
      <c r="F446" s="45"/>
      <c r="G446" s="45"/>
      <c r="H446" s="45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  <c r="FI446" s="46"/>
      <c r="FJ446" s="46"/>
      <c r="FK446" s="46"/>
      <c r="FL446" s="46"/>
      <c r="FM446" s="46"/>
      <c r="FN446" s="46"/>
      <c r="FO446" s="46"/>
      <c r="FP446" s="46"/>
      <c r="FQ446" s="46"/>
      <c r="FR446" s="46"/>
      <c r="FS446" s="46"/>
      <c r="FT446" s="46"/>
      <c r="FU446" s="46"/>
      <c r="FV446" s="46"/>
      <c r="FW446" s="46"/>
      <c r="FX446" s="46"/>
      <c r="FY446" s="46"/>
      <c r="FZ446" s="46"/>
      <c r="GA446" s="46"/>
      <c r="GB446" s="46"/>
      <c r="GC446" s="46"/>
      <c r="GD446" s="46"/>
      <c r="GE446" s="46"/>
      <c r="GF446" s="46"/>
    </row>
    <row r="447" spans="1:188">
      <c r="A447" s="143"/>
      <c r="B447" s="143"/>
      <c r="C447" s="47"/>
      <c r="D447" s="48"/>
      <c r="E447" s="45"/>
      <c r="F447" s="45"/>
      <c r="G447" s="45"/>
      <c r="H447" s="45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</row>
    <row r="448" spans="1:188">
      <c r="A448" s="143"/>
      <c r="B448" s="143"/>
      <c r="C448" s="47"/>
      <c r="D448" s="48"/>
      <c r="E448" s="45"/>
      <c r="F448" s="45"/>
      <c r="G448" s="45"/>
      <c r="H448" s="45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</row>
    <row r="449" spans="1:188">
      <c r="A449" s="143"/>
      <c r="B449" s="143"/>
      <c r="C449" s="47"/>
      <c r="D449" s="48"/>
      <c r="E449" s="45"/>
      <c r="F449" s="45"/>
      <c r="G449" s="45"/>
      <c r="H449" s="45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</row>
    <row r="450" spans="1:188">
      <c r="A450" s="143"/>
      <c r="B450" s="143"/>
      <c r="C450" s="47"/>
      <c r="D450" s="48"/>
      <c r="E450" s="45"/>
      <c r="F450" s="45"/>
      <c r="G450" s="45"/>
      <c r="H450" s="45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</row>
    <row r="451" spans="1:188">
      <c r="A451" s="143"/>
      <c r="B451" s="143"/>
      <c r="C451" s="47"/>
      <c r="D451" s="48"/>
      <c r="E451" s="45"/>
      <c r="F451" s="45"/>
      <c r="G451" s="45"/>
      <c r="H451" s="45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</row>
    <row r="452" spans="1:188">
      <c r="A452" s="143"/>
      <c r="B452" s="143"/>
      <c r="C452" s="47"/>
      <c r="D452" s="48"/>
      <c r="E452" s="45"/>
      <c r="F452" s="45"/>
      <c r="G452" s="45"/>
      <c r="H452" s="45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</row>
    <row r="453" spans="1:188">
      <c r="A453" s="143"/>
      <c r="B453" s="143"/>
      <c r="C453" s="47"/>
      <c r="D453" s="48"/>
      <c r="E453" s="45"/>
      <c r="F453" s="45"/>
      <c r="G453" s="45"/>
      <c r="H453" s="45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</row>
    <row r="454" spans="1:188">
      <c r="A454" s="143"/>
      <c r="B454" s="143"/>
      <c r="C454" s="47"/>
      <c r="D454" s="48"/>
      <c r="E454" s="45"/>
      <c r="F454" s="45"/>
      <c r="G454" s="45"/>
      <c r="H454" s="45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</row>
    <row r="455" spans="1:188">
      <c r="A455" s="143"/>
      <c r="B455" s="143"/>
      <c r="C455" s="47"/>
      <c r="D455" s="48"/>
      <c r="E455" s="45"/>
      <c r="F455" s="45"/>
      <c r="G455" s="45"/>
      <c r="H455" s="45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</row>
    <row r="456" spans="1:188">
      <c r="A456" s="143"/>
      <c r="B456" s="143"/>
      <c r="C456" s="47"/>
      <c r="D456" s="48"/>
      <c r="E456" s="45"/>
      <c r="F456" s="45"/>
      <c r="G456" s="45"/>
      <c r="H456" s="45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</row>
    <row r="457" spans="1:188">
      <c r="A457" s="143"/>
      <c r="B457" s="143"/>
      <c r="C457" s="47"/>
      <c r="D457" s="48"/>
      <c r="E457" s="45"/>
      <c r="F457" s="45"/>
      <c r="G457" s="45"/>
      <c r="H457" s="45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</row>
    <row r="458" spans="1:188">
      <c r="A458" s="143"/>
      <c r="B458" s="143"/>
      <c r="C458" s="47"/>
      <c r="D458" s="48"/>
      <c r="E458" s="45"/>
      <c r="F458" s="45"/>
      <c r="G458" s="45"/>
      <c r="H458" s="45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</row>
    <row r="459" spans="1:188">
      <c r="A459" s="143"/>
      <c r="B459" s="143"/>
      <c r="C459" s="47"/>
      <c r="D459" s="48"/>
      <c r="E459" s="45"/>
      <c r="F459" s="45"/>
      <c r="G459" s="45"/>
      <c r="H459" s="45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</row>
    <row r="460" spans="1:188">
      <c r="A460" s="143"/>
      <c r="B460" s="143"/>
      <c r="C460" s="47"/>
      <c r="D460" s="48"/>
      <c r="E460" s="45"/>
      <c r="F460" s="45"/>
      <c r="G460" s="45"/>
      <c r="H460" s="45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</row>
    <row r="461" spans="1:188">
      <c r="A461" s="143"/>
      <c r="B461" s="143"/>
      <c r="C461" s="47"/>
      <c r="D461" s="48"/>
      <c r="E461" s="45"/>
      <c r="F461" s="45"/>
      <c r="G461" s="45"/>
      <c r="H461" s="45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  <c r="FI461" s="46"/>
      <c r="FJ461" s="46"/>
      <c r="FK461" s="46"/>
      <c r="FL461" s="46"/>
      <c r="FM461" s="46"/>
      <c r="FN461" s="46"/>
      <c r="FO461" s="46"/>
      <c r="FP461" s="46"/>
      <c r="FQ461" s="46"/>
      <c r="FR461" s="46"/>
      <c r="FS461" s="46"/>
      <c r="FT461" s="46"/>
      <c r="FU461" s="46"/>
      <c r="FV461" s="46"/>
      <c r="FW461" s="46"/>
      <c r="FX461" s="46"/>
      <c r="FY461" s="46"/>
      <c r="FZ461" s="46"/>
      <c r="GA461" s="46"/>
      <c r="GB461" s="46"/>
      <c r="GC461" s="46"/>
      <c r="GD461" s="46"/>
      <c r="GE461" s="46"/>
      <c r="GF461" s="46"/>
    </row>
    <row r="462" spans="1:188">
      <c r="A462" s="143"/>
      <c r="B462" s="143"/>
      <c r="C462" s="47"/>
      <c r="D462" s="48"/>
      <c r="E462" s="45"/>
      <c r="F462" s="45"/>
      <c r="G462" s="45"/>
      <c r="H462" s="45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  <c r="FI462" s="46"/>
      <c r="FJ462" s="46"/>
      <c r="FK462" s="46"/>
      <c r="FL462" s="46"/>
      <c r="FM462" s="46"/>
      <c r="FN462" s="46"/>
      <c r="FO462" s="46"/>
      <c r="FP462" s="46"/>
      <c r="FQ462" s="46"/>
      <c r="FR462" s="46"/>
      <c r="FS462" s="46"/>
      <c r="FT462" s="46"/>
      <c r="FU462" s="46"/>
      <c r="FV462" s="46"/>
      <c r="FW462" s="46"/>
      <c r="FX462" s="46"/>
      <c r="FY462" s="46"/>
      <c r="FZ462" s="46"/>
      <c r="GA462" s="46"/>
      <c r="GB462" s="46"/>
      <c r="GC462" s="46"/>
      <c r="GD462" s="46"/>
      <c r="GE462" s="46"/>
      <c r="GF462" s="46"/>
    </row>
    <row r="463" spans="1:188">
      <c r="A463" s="143"/>
      <c r="B463" s="143"/>
      <c r="C463" s="47"/>
      <c r="D463" s="48"/>
      <c r="E463" s="45"/>
      <c r="F463" s="45"/>
      <c r="G463" s="45"/>
      <c r="H463" s="45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</row>
    <row r="464" spans="1:188">
      <c r="A464" s="143"/>
      <c r="B464" s="143"/>
      <c r="C464" s="47"/>
      <c r="D464" s="48"/>
      <c r="E464" s="45"/>
      <c r="F464" s="45"/>
      <c r="G464" s="45"/>
      <c r="H464" s="45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</row>
    <row r="465" spans="1:188">
      <c r="A465" s="143"/>
      <c r="B465" s="143"/>
      <c r="C465" s="47"/>
      <c r="D465" s="48"/>
      <c r="E465" s="45"/>
      <c r="F465" s="45"/>
      <c r="G465" s="45"/>
      <c r="H465" s="45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</row>
    <row r="466" spans="1:188">
      <c r="A466" s="143"/>
      <c r="B466" s="143"/>
      <c r="C466" s="47"/>
      <c r="D466" s="48"/>
      <c r="E466" s="45"/>
      <c r="F466" s="45"/>
      <c r="G466" s="45"/>
      <c r="H466" s="45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</row>
    <row r="467" spans="1:188">
      <c r="A467" s="143"/>
      <c r="B467" s="143"/>
      <c r="C467" s="47"/>
      <c r="D467" s="48"/>
      <c r="E467" s="45"/>
      <c r="F467" s="45"/>
      <c r="G467" s="45"/>
      <c r="H467" s="45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</row>
    <row r="468" spans="1:188">
      <c r="A468" s="143"/>
      <c r="B468" s="143"/>
      <c r="C468" s="47"/>
      <c r="D468" s="48"/>
      <c r="E468" s="45"/>
      <c r="F468" s="45"/>
      <c r="G468" s="45"/>
      <c r="H468" s="45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  <c r="FI468" s="46"/>
      <c r="FJ468" s="46"/>
      <c r="FK468" s="46"/>
      <c r="FL468" s="46"/>
      <c r="FM468" s="46"/>
      <c r="FN468" s="46"/>
      <c r="FO468" s="46"/>
      <c r="FP468" s="46"/>
      <c r="FQ468" s="46"/>
      <c r="FR468" s="46"/>
      <c r="FS468" s="46"/>
      <c r="FT468" s="46"/>
      <c r="FU468" s="46"/>
      <c r="FV468" s="46"/>
      <c r="FW468" s="46"/>
      <c r="FX468" s="46"/>
      <c r="FY468" s="46"/>
      <c r="FZ468" s="46"/>
      <c r="GA468" s="46"/>
      <c r="GB468" s="46"/>
      <c r="GC468" s="46"/>
      <c r="GD468" s="46"/>
      <c r="GE468" s="46"/>
      <c r="GF468" s="46"/>
    </row>
    <row r="469" spans="1:188">
      <c r="A469" s="143"/>
      <c r="B469" s="143"/>
      <c r="C469" s="47"/>
      <c r="D469" s="48"/>
      <c r="E469" s="45"/>
      <c r="F469" s="45"/>
      <c r="G469" s="45"/>
      <c r="H469" s="45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</row>
    <row r="470" spans="1:188">
      <c r="A470" s="143"/>
      <c r="B470" s="143"/>
      <c r="C470" s="47"/>
      <c r="D470" s="48"/>
      <c r="E470" s="45"/>
      <c r="F470" s="45"/>
      <c r="G470" s="45"/>
      <c r="H470" s="45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  <c r="FI470" s="46"/>
      <c r="FJ470" s="46"/>
      <c r="FK470" s="46"/>
      <c r="FL470" s="46"/>
      <c r="FM470" s="46"/>
      <c r="FN470" s="46"/>
      <c r="FO470" s="46"/>
      <c r="FP470" s="46"/>
      <c r="FQ470" s="46"/>
      <c r="FR470" s="46"/>
      <c r="FS470" s="46"/>
      <c r="FT470" s="46"/>
      <c r="FU470" s="46"/>
      <c r="FV470" s="46"/>
      <c r="FW470" s="46"/>
      <c r="FX470" s="46"/>
      <c r="FY470" s="46"/>
      <c r="FZ470" s="46"/>
      <c r="GA470" s="46"/>
      <c r="GB470" s="46"/>
      <c r="GC470" s="46"/>
      <c r="GD470" s="46"/>
      <c r="GE470" s="46"/>
      <c r="GF470" s="46"/>
    </row>
    <row r="471" spans="1:188">
      <c r="A471" s="143"/>
      <c r="B471" s="143"/>
      <c r="C471" s="47"/>
      <c r="D471" s="48"/>
      <c r="E471" s="45"/>
      <c r="F471" s="45"/>
      <c r="G471" s="45"/>
      <c r="H471" s="45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</row>
    <row r="472" spans="1:188">
      <c r="A472" s="143"/>
      <c r="B472" s="143"/>
      <c r="C472" s="47"/>
      <c r="D472" s="48"/>
      <c r="E472" s="45"/>
      <c r="F472" s="45"/>
      <c r="G472" s="45"/>
      <c r="H472" s="45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  <c r="FI472" s="46"/>
      <c r="FJ472" s="46"/>
      <c r="FK472" s="46"/>
      <c r="FL472" s="46"/>
      <c r="FM472" s="46"/>
      <c r="FN472" s="46"/>
      <c r="FO472" s="46"/>
      <c r="FP472" s="46"/>
      <c r="FQ472" s="46"/>
      <c r="FR472" s="46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46"/>
      <c r="GF472" s="46"/>
    </row>
    <row r="473" spans="1:188">
      <c r="A473" s="143"/>
      <c r="B473" s="143"/>
      <c r="C473" s="47"/>
      <c r="D473" s="48"/>
      <c r="E473" s="45"/>
      <c r="F473" s="45"/>
      <c r="G473" s="45"/>
      <c r="H473" s="45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</row>
    <row r="474" spans="1:188">
      <c r="A474" s="143"/>
      <c r="B474" s="143"/>
      <c r="C474" s="47"/>
      <c r="D474" s="48"/>
      <c r="E474" s="45"/>
      <c r="F474" s="45"/>
      <c r="G474" s="45"/>
      <c r="H474" s="45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  <c r="FI474" s="46"/>
      <c r="FJ474" s="46"/>
      <c r="FK474" s="46"/>
      <c r="FL474" s="46"/>
      <c r="FM474" s="46"/>
      <c r="FN474" s="46"/>
      <c r="FO474" s="46"/>
      <c r="FP474" s="46"/>
      <c r="FQ474" s="46"/>
      <c r="FR474" s="46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46"/>
      <c r="GF474" s="46"/>
    </row>
    <row r="475" spans="1:188">
      <c r="A475" s="143"/>
      <c r="B475" s="143"/>
      <c r="C475" s="47"/>
      <c r="D475" s="48"/>
      <c r="E475" s="45"/>
      <c r="F475" s="45"/>
      <c r="G475" s="45"/>
      <c r="H475" s="45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</row>
    <row r="476" spans="1:188">
      <c r="A476" s="143"/>
      <c r="B476" s="143"/>
      <c r="C476" s="47"/>
      <c r="D476" s="48"/>
      <c r="E476" s="45"/>
      <c r="F476" s="45"/>
      <c r="G476" s="45"/>
      <c r="H476" s="45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</row>
    <row r="477" spans="1:188">
      <c r="A477" s="143"/>
      <c r="B477" s="143"/>
      <c r="C477" s="47"/>
      <c r="D477" s="48"/>
      <c r="E477" s="45"/>
      <c r="F477" s="45"/>
      <c r="G477" s="45"/>
      <c r="H477" s="45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</row>
    <row r="478" spans="1:188">
      <c r="A478" s="143"/>
      <c r="B478" s="143"/>
      <c r="C478" s="47"/>
      <c r="D478" s="48"/>
      <c r="E478" s="45"/>
      <c r="F478" s="45"/>
      <c r="G478" s="45"/>
      <c r="H478" s="45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</row>
    <row r="479" spans="1:188">
      <c r="A479" s="143"/>
      <c r="B479" s="143"/>
      <c r="C479" s="47"/>
      <c r="D479" s="48"/>
      <c r="E479" s="45"/>
      <c r="F479" s="45"/>
      <c r="G479" s="45"/>
      <c r="H479" s="45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</row>
    <row r="480" spans="1:188">
      <c r="A480" s="143"/>
      <c r="B480" s="143"/>
      <c r="C480" s="47"/>
      <c r="D480" s="48"/>
      <c r="E480" s="45"/>
      <c r="F480" s="45"/>
      <c r="G480" s="45"/>
      <c r="H480" s="45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</row>
    <row r="481" spans="1:188">
      <c r="A481" s="143"/>
      <c r="B481" s="143"/>
      <c r="C481" s="47"/>
      <c r="D481" s="48"/>
      <c r="E481" s="45"/>
      <c r="F481" s="45"/>
      <c r="G481" s="45"/>
      <c r="H481" s="45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</row>
    <row r="482" spans="1:188">
      <c r="A482" s="143"/>
      <c r="B482" s="143"/>
      <c r="C482" s="47"/>
      <c r="D482" s="48"/>
      <c r="E482" s="45"/>
      <c r="F482" s="45"/>
      <c r="G482" s="45"/>
      <c r="H482" s="45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</row>
    <row r="483" spans="1:188">
      <c r="A483" s="143"/>
      <c r="B483" s="143"/>
      <c r="C483" s="47"/>
      <c r="D483" s="48"/>
      <c r="E483" s="45"/>
      <c r="F483" s="45"/>
      <c r="G483" s="45"/>
      <c r="H483" s="45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</row>
    <row r="484" spans="1:188">
      <c r="A484" s="143"/>
      <c r="B484" s="143"/>
      <c r="C484" s="47"/>
      <c r="D484" s="48"/>
      <c r="E484" s="45"/>
      <c r="F484" s="45"/>
      <c r="G484" s="45"/>
      <c r="H484" s="45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</row>
    <row r="485" spans="1:188">
      <c r="A485" s="143"/>
      <c r="B485" s="143"/>
      <c r="C485" s="47"/>
      <c r="D485" s="48"/>
      <c r="E485" s="45"/>
      <c r="F485" s="45"/>
      <c r="G485" s="45"/>
      <c r="H485" s="45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</row>
    <row r="486" spans="1:188">
      <c r="A486" s="143"/>
      <c r="B486" s="143"/>
      <c r="C486" s="47"/>
      <c r="D486" s="48"/>
      <c r="E486" s="45"/>
      <c r="F486" s="45"/>
      <c r="G486" s="45"/>
      <c r="H486" s="45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</row>
    <row r="487" spans="1:188">
      <c r="A487" s="143"/>
      <c r="B487" s="143"/>
      <c r="C487" s="47"/>
      <c r="D487" s="48"/>
      <c r="E487" s="45"/>
      <c r="F487" s="45"/>
      <c r="G487" s="45"/>
      <c r="H487" s="45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</row>
    <row r="488" spans="1:188">
      <c r="A488" s="143"/>
      <c r="B488" s="143"/>
      <c r="C488" s="47"/>
      <c r="D488" s="48"/>
      <c r="E488" s="45"/>
      <c r="F488" s="45"/>
      <c r="G488" s="45"/>
      <c r="H488" s="45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</row>
    <row r="489" spans="1:188">
      <c r="A489" s="143"/>
      <c r="B489" s="143"/>
      <c r="C489" s="47"/>
      <c r="D489" s="48"/>
      <c r="E489" s="45"/>
      <c r="F489" s="45"/>
      <c r="G489" s="45"/>
      <c r="H489" s="45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</row>
    <row r="490" spans="1:188">
      <c r="A490" s="143"/>
      <c r="B490" s="143"/>
      <c r="C490" s="47"/>
      <c r="D490" s="48"/>
      <c r="E490" s="45"/>
      <c r="F490" s="45"/>
      <c r="G490" s="45"/>
      <c r="H490" s="45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</row>
    <row r="491" spans="1:188">
      <c r="A491" s="143"/>
      <c r="B491" s="143"/>
      <c r="C491" s="47"/>
      <c r="D491" s="48"/>
      <c r="E491" s="45"/>
      <c r="F491" s="45"/>
      <c r="G491" s="45"/>
      <c r="H491" s="45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</row>
    <row r="492" spans="1:188">
      <c r="A492" s="143"/>
      <c r="B492" s="143"/>
      <c r="C492" s="47"/>
      <c r="D492" s="48"/>
      <c r="E492" s="45"/>
      <c r="F492" s="45"/>
      <c r="G492" s="45"/>
      <c r="H492" s="45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</row>
    <row r="493" spans="1:188">
      <c r="A493" s="143"/>
      <c r="B493" s="143"/>
      <c r="C493" s="47"/>
      <c r="D493" s="48"/>
      <c r="E493" s="45"/>
      <c r="F493" s="45"/>
      <c r="G493" s="45"/>
      <c r="H493" s="45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</row>
    <row r="494" spans="1:188">
      <c r="A494" s="143"/>
      <c r="B494" s="143"/>
      <c r="C494" s="47"/>
      <c r="D494" s="48"/>
      <c r="E494" s="45"/>
      <c r="F494" s="45"/>
      <c r="G494" s="45"/>
      <c r="H494" s="45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</row>
    <row r="495" spans="1:188">
      <c r="A495" s="143"/>
      <c r="B495" s="143"/>
      <c r="C495" s="47"/>
      <c r="D495" s="48"/>
      <c r="E495" s="45"/>
      <c r="F495" s="45"/>
      <c r="G495" s="45"/>
      <c r="H495" s="45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</row>
    <row r="496" spans="1:188">
      <c r="A496" s="143"/>
      <c r="B496" s="143"/>
      <c r="C496" s="47"/>
      <c r="D496" s="48"/>
      <c r="E496" s="45"/>
      <c r="F496" s="45"/>
      <c r="G496" s="45"/>
      <c r="H496" s="45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</row>
    <row r="497" spans="1:188">
      <c r="A497" s="143"/>
      <c r="B497" s="143"/>
      <c r="C497" s="47"/>
      <c r="D497" s="48"/>
      <c r="E497" s="45"/>
      <c r="F497" s="45"/>
      <c r="G497" s="45"/>
      <c r="H497" s="45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</row>
    <row r="498" spans="1:188">
      <c r="A498" s="143"/>
      <c r="B498" s="143"/>
      <c r="C498" s="47"/>
      <c r="D498" s="48"/>
      <c r="E498" s="45"/>
      <c r="F498" s="45"/>
      <c r="G498" s="45"/>
      <c r="H498" s="45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</row>
    <row r="499" spans="1:188">
      <c r="A499" s="143"/>
      <c r="B499" s="143"/>
      <c r="C499" s="47"/>
      <c r="D499" s="48"/>
      <c r="E499" s="45"/>
      <c r="F499" s="45"/>
      <c r="G499" s="45"/>
      <c r="H499" s="45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</row>
    <row r="500" spans="1:188">
      <c r="A500" s="143"/>
      <c r="B500" s="143"/>
      <c r="C500" s="47"/>
      <c r="D500" s="48"/>
      <c r="E500" s="45"/>
      <c r="F500" s="45"/>
      <c r="G500" s="45"/>
      <c r="H500" s="45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</row>
    <row r="501" spans="1:188">
      <c r="A501" s="143"/>
      <c r="B501" s="143"/>
      <c r="C501" s="47"/>
      <c r="D501" s="48"/>
      <c r="E501" s="45"/>
      <c r="F501" s="45"/>
      <c r="G501" s="45"/>
      <c r="H501" s="45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  <c r="FI501" s="46"/>
      <c r="FJ501" s="46"/>
      <c r="FK501" s="46"/>
      <c r="FL501" s="46"/>
      <c r="FM501" s="46"/>
      <c r="FN501" s="46"/>
      <c r="FO501" s="46"/>
      <c r="FP501" s="46"/>
      <c r="FQ501" s="46"/>
      <c r="FR501" s="46"/>
      <c r="FS501" s="46"/>
      <c r="FT501" s="46"/>
      <c r="FU501" s="46"/>
      <c r="FV501" s="46"/>
      <c r="FW501" s="46"/>
      <c r="FX501" s="46"/>
      <c r="FY501" s="46"/>
      <c r="FZ501" s="46"/>
      <c r="GA501" s="46"/>
      <c r="GB501" s="46"/>
      <c r="GC501" s="46"/>
      <c r="GD501" s="46"/>
      <c r="GE501" s="46"/>
      <c r="GF501" s="46"/>
    </row>
    <row r="502" spans="1:188">
      <c r="A502" s="143"/>
      <c r="B502" s="143"/>
      <c r="C502" s="47"/>
      <c r="D502" s="48"/>
      <c r="E502" s="45"/>
      <c r="F502" s="45"/>
      <c r="G502" s="45"/>
      <c r="H502" s="45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  <c r="FI502" s="46"/>
      <c r="FJ502" s="46"/>
      <c r="FK502" s="46"/>
      <c r="FL502" s="46"/>
      <c r="FM502" s="46"/>
      <c r="FN502" s="46"/>
      <c r="FO502" s="46"/>
      <c r="FP502" s="46"/>
      <c r="FQ502" s="46"/>
      <c r="FR502" s="46"/>
      <c r="FS502" s="46"/>
      <c r="FT502" s="46"/>
      <c r="FU502" s="46"/>
      <c r="FV502" s="46"/>
      <c r="FW502" s="46"/>
      <c r="FX502" s="46"/>
      <c r="FY502" s="46"/>
      <c r="FZ502" s="46"/>
      <c r="GA502" s="46"/>
      <c r="GB502" s="46"/>
      <c r="GC502" s="46"/>
      <c r="GD502" s="46"/>
      <c r="GE502" s="46"/>
      <c r="GF502" s="46"/>
    </row>
    <row r="503" spans="1:188">
      <c r="A503" s="143"/>
      <c r="B503" s="143"/>
      <c r="C503" s="47"/>
      <c r="D503" s="48"/>
      <c r="E503" s="45"/>
      <c r="F503" s="45"/>
      <c r="G503" s="45"/>
      <c r="H503" s="45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  <c r="FI503" s="46"/>
      <c r="FJ503" s="46"/>
      <c r="FK503" s="46"/>
      <c r="FL503" s="46"/>
      <c r="FM503" s="46"/>
      <c r="FN503" s="46"/>
      <c r="FO503" s="46"/>
      <c r="FP503" s="46"/>
      <c r="FQ503" s="46"/>
      <c r="FR503" s="46"/>
      <c r="FS503" s="46"/>
      <c r="FT503" s="46"/>
      <c r="FU503" s="46"/>
      <c r="FV503" s="46"/>
      <c r="FW503" s="46"/>
      <c r="FX503" s="46"/>
      <c r="FY503" s="46"/>
      <c r="FZ503" s="46"/>
      <c r="GA503" s="46"/>
      <c r="GB503" s="46"/>
      <c r="GC503" s="46"/>
      <c r="GD503" s="46"/>
      <c r="GE503" s="46"/>
      <c r="GF503" s="46"/>
    </row>
    <row r="504" spans="1:188">
      <c r="A504" s="143"/>
      <c r="B504" s="143"/>
      <c r="C504" s="47"/>
      <c r="D504" s="48"/>
      <c r="E504" s="45"/>
      <c r="F504" s="45"/>
      <c r="G504" s="45"/>
      <c r="H504" s="45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  <c r="FI504" s="46"/>
      <c r="FJ504" s="46"/>
      <c r="FK504" s="46"/>
      <c r="FL504" s="46"/>
      <c r="FM504" s="46"/>
      <c r="FN504" s="46"/>
      <c r="FO504" s="46"/>
      <c r="FP504" s="46"/>
      <c r="FQ504" s="46"/>
      <c r="FR504" s="46"/>
      <c r="FS504" s="46"/>
      <c r="FT504" s="46"/>
      <c r="FU504" s="46"/>
      <c r="FV504" s="46"/>
      <c r="FW504" s="46"/>
      <c r="FX504" s="46"/>
      <c r="FY504" s="46"/>
      <c r="FZ504" s="46"/>
      <c r="GA504" s="46"/>
      <c r="GB504" s="46"/>
      <c r="GC504" s="46"/>
      <c r="GD504" s="46"/>
      <c r="GE504" s="46"/>
      <c r="GF504" s="46"/>
    </row>
    <row r="505" spans="1:188">
      <c r="A505" s="143"/>
      <c r="B505" s="143"/>
      <c r="C505" s="47"/>
      <c r="D505" s="48"/>
      <c r="E505" s="45"/>
      <c r="F505" s="45"/>
      <c r="G505" s="45"/>
      <c r="H505" s="45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  <c r="FI505" s="46"/>
      <c r="FJ505" s="46"/>
      <c r="FK505" s="46"/>
      <c r="FL505" s="46"/>
      <c r="FM505" s="46"/>
      <c r="FN505" s="46"/>
      <c r="FO505" s="46"/>
      <c r="FP505" s="46"/>
      <c r="FQ505" s="46"/>
      <c r="FR505" s="46"/>
      <c r="FS505" s="46"/>
      <c r="FT505" s="46"/>
      <c r="FU505" s="46"/>
      <c r="FV505" s="46"/>
      <c r="FW505" s="46"/>
      <c r="FX505" s="46"/>
      <c r="FY505" s="46"/>
      <c r="FZ505" s="46"/>
      <c r="GA505" s="46"/>
      <c r="GB505" s="46"/>
      <c r="GC505" s="46"/>
      <c r="GD505" s="46"/>
      <c r="GE505" s="46"/>
      <c r="GF505" s="46"/>
    </row>
    <row r="506" spans="1:188">
      <c r="A506" s="143"/>
      <c r="B506" s="143"/>
      <c r="C506" s="47"/>
      <c r="D506" s="48"/>
      <c r="E506" s="45"/>
      <c r="F506" s="45"/>
      <c r="G506" s="45"/>
      <c r="H506" s="45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6"/>
      <c r="EL506" s="46"/>
      <c r="EM506" s="46"/>
      <c r="EN506" s="46"/>
      <c r="EO506" s="46"/>
      <c r="EP506" s="46"/>
      <c r="EQ506" s="46"/>
      <c r="ER506" s="46"/>
      <c r="ES506" s="46"/>
      <c r="ET506" s="46"/>
      <c r="EU506" s="46"/>
      <c r="EV506" s="46"/>
      <c r="EW506" s="46"/>
      <c r="EX506" s="46"/>
      <c r="EY506" s="46"/>
      <c r="EZ506" s="46"/>
      <c r="FA506" s="46"/>
      <c r="FB506" s="46"/>
      <c r="FC506" s="46"/>
      <c r="FD506" s="46"/>
      <c r="FE506" s="46"/>
      <c r="FF506" s="46"/>
      <c r="FG506" s="46"/>
      <c r="FH506" s="46"/>
      <c r="FI506" s="46"/>
      <c r="FJ506" s="46"/>
      <c r="FK506" s="46"/>
      <c r="FL506" s="46"/>
      <c r="FM506" s="46"/>
      <c r="FN506" s="46"/>
      <c r="FO506" s="46"/>
      <c r="FP506" s="46"/>
      <c r="FQ506" s="46"/>
      <c r="FR506" s="46"/>
      <c r="FS506" s="46"/>
      <c r="FT506" s="46"/>
      <c r="FU506" s="46"/>
      <c r="FV506" s="46"/>
      <c r="FW506" s="46"/>
      <c r="FX506" s="46"/>
      <c r="FY506" s="46"/>
      <c r="FZ506" s="46"/>
      <c r="GA506" s="46"/>
      <c r="GB506" s="46"/>
      <c r="GC506" s="46"/>
      <c r="GD506" s="46"/>
      <c r="GE506" s="46"/>
      <c r="GF506" s="46"/>
    </row>
    <row r="507" spans="1:188">
      <c r="A507" s="143"/>
      <c r="B507" s="143"/>
      <c r="C507" s="47"/>
      <c r="D507" s="48"/>
      <c r="E507" s="45"/>
      <c r="F507" s="45"/>
      <c r="G507" s="45"/>
      <c r="H507" s="45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6"/>
      <c r="EL507" s="46"/>
      <c r="EM507" s="46"/>
      <c r="EN507" s="46"/>
      <c r="EO507" s="46"/>
      <c r="EP507" s="46"/>
      <c r="EQ507" s="46"/>
      <c r="ER507" s="46"/>
      <c r="ES507" s="46"/>
      <c r="ET507" s="46"/>
      <c r="EU507" s="46"/>
      <c r="EV507" s="46"/>
      <c r="EW507" s="46"/>
      <c r="EX507" s="46"/>
      <c r="EY507" s="46"/>
      <c r="EZ507" s="46"/>
      <c r="FA507" s="46"/>
      <c r="FB507" s="46"/>
      <c r="FC507" s="46"/>
      <c r="FD507" s="46"/>
      <c r="FE507" s="46"/>
      <c r="FF507" s="46"/>
      <c r="FG507" s="46"/>
      <c r="FH507" s="46"/>
      <c r="FI507" s="46"/>
      <c r="FJ507" s="46"/>
      <c r="FK507" s="46"/>
      <c r="FL507" s="46"/>
      <c r="FM507" s="46"/>
      <c r="FN507" s="46"/>
      <c r="FO507" s="46"/>
      <c r="FP507" s="46"/>
      <c r="FQ507" s="46"/>
      <c r="FR507" s="46"/>
      <c r="FS507" s="46"/>
      <c r="FT507" s="46"/>
      <c r="FU507" s="46"/>
      <c r="FV507" s="46"/>
      <c r="FW507" s="46"/>
      <c r="FX507" s="46"/>
      <c r="FY507" s="46"/>
      <c r="FZ507" s="46"/>
      <c r="GA507" s="46"/>
      <c r="GB507" s="46"/>
      <c r="GC507" s="46"/>
      <c r="GD507" s="46"/>
      <c r="GE507" s="46"/>
      <c r="GF507" s="46"/>
    </row>
    <row r="508" spans="1:188">
      <c r="A508" s="143"/>
      <c r="B508" s="143"/>
      <c r="C508" s="47"/>
      <c r="D508" s="48"/>
      <c r="E508" s="45"/>
      <c r="F508" s="45"/>
      <c r="G508" s="45"/>
      <c r="H508" s="45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6"/>
      <c r="EL508" s="46"/>
      <c r="EM508" s="46"/>
      <c r="EN508" s="46"/>
      <c r="EO508" s="46"/>
      <c r="EP508" s="46"/>
      <c r="EQ508" s="46"/>
      <c r="ER508" s="46"/>
      <c r="ES508" s="46"/>
      <c r="ET508" s="46"/>
      <c r="EU508" s="46"/>
      <c r="EV508" s="46"/>
      <c r="EW508" s="46"/>
      <c r="EX508" s="46"/>
      <c r="EY508" s="46"/>
      <c r="EZ508" s="46"/>
      <c r="FA508" s="46"/>
      <c r="FB508" s="46"/>
      <c r="FC508" s="46"/>
      <c r="FD508" s="46"/>
      <c r="FE508" s="46"/>
      <c r="FF508" s="46"/>
      <c r="FG508" s="46"/>
      <c r="FH508" s="46"/>
      <c r="FI508" s="46"/>
      <c r="FJ508" s="46"/>
      <c r="FK508" s="46"/>
      <c r="FL508" s="46"/>
      <c r="FM508" s="46"/>
      <c r="FN508" s="46"/>
      <c r="FO508" s="46"/>
      <c r="FP508" s="46"/>
      <c r="FQ508" s="46"/>
      <c r="FR508" s="46"/>
      <c r="FS508" s="46"/>
      <c r="FT508" s="46"/>
      <c r="FU508" s="46"/>
      <c r="FV508" s="46"/>
      <c r="FW508" s="46"/>
      <c r="FX508" s="46"/>
      <c r="FY508" s="46"/>
      <c r="FZ508" s="46"/>
      <c r="GA508" s="46"/>
      <c r="GB508" s="46"/>
      <c r="GC508" s="46"/>
      <c r="GD508" s="46"/>
      <c r="GE508" s="46"/>
      <c r="GF508" s="46"/>
    </row>
    <row r="509" spans="1:188">
      <c r="A509" s="143"/>
      <c r="B509" s="143"/>
      <c r="C509" s="47"/>
      <c r="D509" s="48"/>
      <c r="E509" s="45"/>
      <c r="F509" s="45"/>
      <c r="G509" s="45"/>
      <c r="H509" s="45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6"/>
      <c r="EK509" s="46"/>
      <c r="EL509" s="46"/>
      <c r="EM509" s="46"/>
      <c r="EN509" s="46"/>
      <c r="EO509" s="46"/>
      <c r="EP509" s="46"/>
      <c r="EQ509" s="46"/>
      <c r="ER509" s="46"/>
      <c r="ES509" s="46"/>
      <c r="ET509" s="46"/>
      <c r="EU509" s="46"/>
      <c r="EV509" s="46"/>
      <c r="EW509" s="46"/>
      <c r="EX509" s="46"/>
      <c r="EY509" s="46"/>
      <c r="EZ509" s="46"/>
      <c r="FA509" s="46"/>
      <c r="FB509" s="46"/>
      <c r="FC509" s="46"/>
      <c r="FD509" s="46"/>
      <c r="FE509" s="46"/>
      <c r="FF509" s="46"/>
      <c r="FG509" s="46"/>
      <c r="FH509" s="46"/>
      <c r="FI509" s="46"/>
      <c r="FJ509" s="46"/>
      <c r="FK509" s="46"/>
      <c r="FL509" s="46"/>
      <c r="FM509" s="46"/>
      <c r="FN509" s="46"/>
      <c r="FO509" s="46"/>
      <c r="FP509" s="46"/>
      <c r="FQ509" s="46"/>
      <c r="FR509" s="46"/>
      <c r="FS509" s="46"/>
      <c r="FT509" s="46"/>
      <c r="FU509" s="46"/>
      <c r="FV509" s="46"/>
      <c r="FW509" s="46"/>
      <c r="FX509" s="46"/>
      <c r="FY509" s="46"/>
      <c r="FZ509" s="46"/>
      <c r="GA509" s="46"/>
      <c r="GB509" s="46"/>
      <c r="GC509" s="46"/>
      <c r="GD509" s="46"/>
      <c r="GE509" s="46"/>
      <c r="GF509" s="46"/>
    </row>
    <row r="510" spans="1:188">
      <c r="A510" s="143"/>
      <c r="B510" s="143"/>
      <c r="C510" s="47"/>
      <c r="D510" s="48"/>
      <c r="E510" s="45"/>
      <c r="F510" s="45"/>
      <c r="G510" s="45"/>
      <c r="H510" s="45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  <c r="FI510" s="46"/>
      <c r="FJ510" s="46"/>
      <c r="FK510" s="46"/>
      <c r="FL510" s="46"/>
      <c r="FM510" s="46"/>
      <c r="FN510" s="46"/>
      <c r="FO510" s="46"/>
      <c r="FP510" s="46"/>
      <c r="FQ510" s="46"/>
      <c r="FR510" s="46"/>
      <c r="FS510" s="46"/>
      <c r="FT510" s="46"/>
      <c r="FU510" s="46"/>
      <c r="FV510" s="46"/>
      <c r="FW510" s="46"/>
      <c r="FX510" s="46"/>
      <c r="FY510" s="46"/>
      <c r="FZ510" s="46"/>
      <c r="GA510" s="46"/>
      <c r="GB510" s="46"/>
      <c r="GC510" s="46"/>
      <c r="GD510" s="46"/>
      <c r="GE510" s="46"/>
      <c r="GF510" s="46"/>
    </row>
    <row r="511" spans="1:188">
      <c r="A511" s="143"/>
      <c r="B511" s="143"/>
      <c r="C511" s="47"/>
      <c r="D511" s="48"/>
      <c r="E511" s="45"/>
      <c r="F511" s="45"/>
      <c r="G511" s="45"/>
      <c r="H511" s="45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  <c r="FI511" s="46"/>
      <c r="FJ511" s="46"/>
      <c r="FK511" s="46"/>
      <c r="FL511" s="46"/>
      <c r="FM511" s="46"/>
      <c r="FN511" s="46"/>
      <c r="FO511" s="46"/>
      <c r="FP511" s="46"/>
      <c r="FQ511" s="46"/>
      <c r="FR511" s="46"/>
      <c r="FS511" s="46"/>
      <c r="FT511" s="46"/>
      <c r="FU511" s="46"/>
      <c r="FV511" s="46"/>
      <c r="FW511" s="46"/>
      <c r="FX511" s="46"/>
      <c r="FY511" s="46"/>
      <c r="FZ511" s="46"/>
      <c r="GA511" s="46"/>
      <c r="GB511" s="46"/>
      <c r="GC511" s="46"/>
      <c r="GD511" s="46"/>
      <c r="GE511" s="46"/>
      <c r="GF511" s="46"/>
    </row>
    <row r="512" spans="1:188">
      <c r="A512" s="143"/>
      <c r="B512" s="143"/>
      <c r="C512" s="47"/>
      <c r="D512" s="48"/>
      <c r="E512" s="45"/>
      <c r="F512" s="45"/>
      <c r="G512" s="45"/>
      <c r="H512" s="45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</row>
    <row r="513" spans="1:188">
      <c r="A513" s="143"/>
      <c r="B513" s="143"/>
      <c r="C513" s="47"/>
      <c r="D513" s="48"/>
      <c r="E513" s="45"/>
      <c r="F513" s="45"/>
      <c r="G513" s="45"/>
      <c r="H513" s="45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  <c r="FI513" s="46"/>
      <c r="FJ513" s="46"/>
      <c r="FK513" s="46"/>
      <c r="FL513" s="46"/>
      <c r="FM513" s="46"/>
      <c r="FN513" s="46"/>
      <c r="FO513" s="46"/>
      <c r="FP513" s="46"/>
      <c r="FQ513" s="46"/>
      <c r="FR513" s="46"/>
      <c r="FS513" s="46"/>
      <c r="FT513" s="46"/>
      <c r="FU513" s="46"/>
      <c r="FV513" s="46"/>
      <c r="FW513" s="46"/>
      <c r="FX513" s="46"/>
      <c r="FY513" s="46"/>
      <c r="FZ513" s="46"/>
      <c r="GA513" s="46"/>
      <c r="GB513" s="46"/>
      <c r="GC513" s="46"/>
      <c r="GD513" s="46"/>
      <c r="GE513" s="46"/>
      <c r="GF513" s="46"/>
    </row>
    <row r="514" spans="1:188">
      <c r="A514" s="143"/>
      <c r="B514" s="143"/>
      <c r="C514" s="47"/>
      <c r="D514" s="48"/>
      <c r="E514" s="45"/>
      <c r="F514" s="45"/>
      <c r="G514" s="45"/>
      <c r="H514" s="45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  <c r="FI514" s="46"/>
      <c r="FJ514" s="46"/>
      <c r="FK514" s="46"/>
      <c r="FL514" s="46"/>
      <c r="FM514" s="46"/>
      <c r="FN514" s="46"/>
      <c r="FO514" s="46"/>
      <c r="FP514" s="46"/>
      <c r="FQ514" s="46"/>
      <c r="FR514" s="46"/>
      <c r="FS514" s="46"/>
      <c r="FT514" s="46"/>
      <c r="FU514" s="46"/>
      <c r="FV514" s="46"/>
      <c r="FW514" s="46"/>
      <c r="FX514" s="46"/>
      <c r="FY514" s="46"/>
      <c r="FZ514" s="46"/>
      <c r="GA514" s="46"/>
      <c r="GB514" s="46"/>
      <c r="GC514" s="46"/>
      <c r="GD514" s="46"/>
      <c r="GE514" s="46"/>
      <c r="GF514" s="46"/>
    </row>
    <row r="515" spans="1:188">
      <c r="A515" s="143"/>
      <c r="B515" s="143"/>
      <c r="C515" s="47"/>
      <c r="D515" s="48"/>
      <c r="E515" s="45"/>
      <c r="F515" s="45"/>
      <c r="G515" s="45"/>
      <c r="H515" s="45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</row>
    <row r="516" spans="1:188">
      <c r="A516" s="143"/>
      <c r="B516" s="143"/>
      <c r="C516" s="47"/>
      <c r="D516" s="48"/>
      <c r="E516" s="45"/>
      <c r="F516" s="45"/>
      <c r="G516" s="45"/>
      <c r="H516" s="45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  <c r="FI516" s="46"/>
      <c r="FJ516" s="46"/>
      <c r="FK516" s="46"/>
      <c r="FL516" s="46"/>
      <c r="FM516" s="46"/>
      <c r="FN516" s="46"/>
      <c r="FO516" s="46"/>
      <c r="FP516" s="46"/>
      <c r="FQ516" s="46"/>
      <c r="FR516" s="46"/>
      <c r="FS516" s="46"/>
      <c r="FT516" s="46"/>
      <c r="FU516" s="46"/>
      <c r="FV516" s="46"/>
      <c r="FW516" s="46"/>
      <c r="FX516" s="46"/>
      <c r="FY516" s="46"/>
      <c r="FZ516" s="46"/>
      <c r="GA516" s="46"/>
      <c r="GB516" s="46"/>
      <c r="GC516" s="46"/>
      <c r="GD516" s="46"/>
      <c r="GE516" s="46"/>
      <c r="GF516" s="46"/>
    </row>
    <row r="517" spans="1:188">
      <c r="A517" s="143"/>
      <c r="B517" s="143"/>
      <c r="C517" s="47"/>
      <c r="D517" s="48"/>
      <c r="E517" s="45"/>
      <c r="F517" s="45"/>
      <c r="G517" s="45"/>
      <c r="H517" s="45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</row>
    <row r="518" spans="1:188">
      <c r="A518" s="143"/>
      <c r="B518" s="143"/>
      <c r="C518" s="47"/>
      <c r="D518" s="48"/>
      <c r="E518" s="45"/>
      <c r="F518" s="45"/>
      <c r="G518" s="45"/>
      <c r="H518" s="45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  <c r="FI518" s="46"/>
      <c r="FJ518" s="46"/>
      <c r="FK518" s="46"/>
      <c r="FL518" s="46"/>
      <c r="FM518" s="46"/>
      <c r="FN518" s="46"/>
      <c r="FO518" s="46"/>
      <c r="FP518" s="46"/>
      <c r="FQ518" s="46"/>
      <c r="FR518" s="46"/>
      <c r="FS518" s="46"/>
      <c r="FT518" s="46"/>
      <c r="FU518" s="46"/>
      <c r="FV518" s="46"/>
      <c r="FW518" s="46"/>
      <c r="FX518" s="46"/>
      <c r="FY518" s="46"/>
      <c r="FZ518" s="46"/>
      <c r="GA518" s="46"/>
      <c r="GB518" s="46"/>
      <c r="GC518" s="46"/>
      <c r="GD518" s="46"/>
      <c r="GE518" s="46"/>
      <c r="GF518" s="46"/>
    </row>
    <row r="519" spans="1:188">
      <c r="A519" s="143"/>
      <c r="B519" s="143"/>
      <c r="C519" s="47"/>
      <c r="D519" s="48"/>
      <c r="E519" s="45"/>
      <c r="F519" s="45"/>
      <c r="G519" s="45"/>
      <c r="H519" s="45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6"/>
      <c r="EL519" s="46"/>
      <c r="EM519" s="46"/>
      <c r="EN519" s="46"/>
      <c r="EO519" s="46"/>
      <c r="EP519" s="46"/>
      <c r="EQ519" s="46"/>
      <c r="ER519" s="46"/>
      <c r="ES519" s="46"/>
      <c r="ET519" s="46"/>
      <c r="EU519" s="46"/>
      <c r="EV519" s="46"/>
      <c r="EW519" s="46"/>
      <c r="EX519" s="46"/>
      <c r="EY519" s="46"/>
      <c r="EZ519" s="46"/>
      <c r="FA519" s="46"/>
      <c r="FB519" s="46"/>
      <c r="FC519" s="46"/>
      <c r="FD519" s="46"/>
      <c r="FE519" s="46"/>
      <c r="FF519" s="46"/>
      <c r="FG519" s="46"/>
      <c r="FH519" s="46"/>
      <c r="FI519" s="46"/>
      <c r="FJ519" s="46"/>
      <c r="FK519" s="46"/>
      <c r="FL519" s="46"/>
      <c r="FM519" s="46"/>
      <c r="FN519" s="46"/>
      <c r="FO519" s="46"/>
      <c r="FP519" s="46"/>
      <c r="FQ519" s="46"/>
      <c r="FR519" s="46"/>
      <c r="FS519" s="46"/>
      <c r="FT519" s="46"/>
      <c r="FU519" s="46"/>
      <c r="FV519" s="46"/>
      <c r="FW519" s="46"/>
      <c r="FX519" s="46"/>
      <c r="FY519" s="46"/>
      <c r="FZ519" s="46"/>
      <c r="GA519" s="46"/>
      <c r="GB519" s="46"/>
      <c r="GC519" s="46"/>
      <c r="GD519" s="46"/>
      <c r="GE519" s="46"/>
      <c r="GF519" s="46"/>
    </row>
    <row r="520" spans="1:188">
      <c r="A520" s="143"/>
      <c r="B520" s="143"/>
      <c r="C520" s="47"/>
      <c r="D520" s="48"/>
      <c r="E520" s="45"/>
      <c r="F520" s="45"/>
      <c r="G520" s="45"/>
      <c r="H520" s="45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6"/>
      <c r="EL520" s="46"/>
      <c r="EM520" s="46"/>
      <c r="EN520" s="46"/>
      <c r="EO520" s="46"/>
      <c r="EP520" s="46"/>
      <c r="EQ520" s="46"/>
      <c r="ER520" s="46"/>
      <c r="ES520" s="46"/>
      <c r="ET520" s="46"/>
      <c r="EU520" s="46"/>
      <c r="EV520" s="46"/>
      <c r="EW520" s="46"/>
      <c r="EX520" s="46"/>
      <c r="EY520" s="46"/>
      <c r="EZ520" s="46"/>
      <c r="FA520" s="46"/>
      <c r="FB520" s="46"/>
      <c r="FC520" s="46"/>
      <c r="FD520" s="46"/>
      <c r="FE520" s="46"/>
      <c r="FF520" s="46"/>
      <c r="FG520" s="46"/>
      <c r="FH520" s="46"/>
      <c r="FI520" s="46"/>
      <c r="FJ520" s="46"/>
      <c r="FK520" s="46"/>
      <c r="FL520" s="46"/>
      <c r="FM520" s="46"/>
      <c r="FN520" s="46"/>
      <c r="FO520" s="46"/>
      <c r="FP520" s="46"/>
      <c r="FQ520" s="46"/>
      <c r="FR520" s="46"/>
      <c r="FS520" s="46"/>
      <c r="FT520" s="46"/>
      <c r="FU520" s="46"/>
      <c r="FV520" s="46"/>
      <c r="FW520" s="46"/>
      <c r="FX520" s="46"/>
      <c r="FY520" s="46"/>
      <c r="FZ520" s="46"/>
      <c r="GA520" s="46"/>
      <c r="GB520" s="46"/>
      <c r="GC520" s="46"/>
      <c r="GD520" s="46"/>
      <c r="GE520" s="46"/>
      <c r="GF520" s="46"/>
    </row>
    <row r="521" spans="1:188">
      <c r="A521" s="143"/>
      <c r="B521" s="143"/>
      <c r="C521" s="47"/>
      <c r="D521" s="48"/>
      <c r="E521" s="45"/>
      <c r="F521" s="45"/>
      <c r="G521" s="45"/>
      <c r="H521" s="45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6"/>
      <c r="EL521" s="46"/>
      <c r="EM521" s="46"/>
      <c r="EN521" s="46"/>
      <c r="EO521" s="46"/>
      <c r="EP521" s="46"/>
      <c r="EQ521" s="46"/>
      <c r="ER521" s="46"/>
      <c r="ES521" s="46"/>
      <c r="ET521" s="46"/>
      <c r="EU521" s="46"/>
      <c r="EV521" s="46"/>
      <c r="EW521" s="46"/>
      <c r="EX521" s="46"/>
      <c r="EY521" s="46"/>
      <c r="EZ521" s="46"/>
      <c r="FA521" s="46"/>
      <c r="FB521" s="46"/>
      <c r="FC521" s="46"/>
      <c r="FD521" s="46"/>
      <c r="FE521" s="46"/>
      <c r="FF521" s="46"/>
      <c r="FG521" s="46"/>
      <c r="FH521" s="46"/>
      <c r="FI521" s="46"/>
      <c r="FJ521" s="46"/>
      <c r="FK521" s="46"/>
      <c r="FL521" s="46"/>
      <c r="FM521" s="46"/>
      <c r="FN521" s="46"/>
      <c r="FO521" s="46"/>
      <c r="FP521" s="46"/>
      <c r="FQ521" s="46"/>
      <c r="FR521" s="46"/>
      <c r="FS521" s="46"/>
      <c r="FT521" s="46"/>
      <c r="FU521" s="46"/>
      <c r="FV521" s="46"/>
      <c r="FW521" s="46"/>
      <c r="FX521" s="46"/>
      <c r="FY521" s="46"/>
      <c r="FZ521" s="46"/>
      <c r="GA521" s="46"/>
      <c r="GB521" s="46"/>
      <c r="GC521" s="46"/>
      <c r="GD521" s="46"/>
      <c r="GE521" s="46"/>
      <c r="GF521" s="46"/>
    </row>
    <row r="522" spans="1:188">
      <c r="A522" s="143"/>
      <c r="B522" s="143"/>
      <c r="C522" s="47"/>
      <c r="D522" s="48"/>
      <c r="E522" s="45"/>
      <c r="F522" s="45"/>
      <c r="G522" s="45"/>
      <c r="H522" s="45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  <c r="FI522" s="46"/>
      <c r="FJ522" s="46"/>
      <c r="FK522" s="46"/>
      <c r="FL522" s="46"/>
      <c r="FM522" s="46"/>
      <c r="FN522" s="46"/>
      <c r="FO522" s="46"/>
      <c r="FP522" s="46"/>
      <c r="FQ522" s="46"/>
      <c r="FR522" s="46"/>
      <c r="FS522" s="46"/>
      <c r="FT522" s="46"/>
      <c r="FU522" s="46"/>
      <c r="FV522" s="46"/>
      <c r="FW522" s="46"/>
      <c r="FX522" s="46"/>
      <c r="FY522" s="46"/>
      <c r="FZ522" s="46"/>
      <c r="GA522" s="46"/>
      <c r="GB522" s="46"/>
      <c r="GC522" s="46"/>
      <c r="GD522" s="46"/>
      <c r="GE522" s="46"/>
      <c r="GF522" s="46"/>
    </row>
    <row r="523" spans="1:188">
      <c r="A523" s="143"/>
      <c r="B523" s="143"/>
      <c r="C523" s="47"/>
      <c r="D523" s="48"/>
      <c r="E523" s="45"/>
      <c r="F523" s="45"/>
      <c r="G523" s="45"/>
      <c r="H523" s="45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  <c r="FI523" s="46"/>
      <c r="FJ523" s="46"/>
      <c r="FK523" s="46"/>
      <c r="FL523" s="46"/>
      <c r="FM523" s="46"/>
      <c r="FN523" s="46"/>
      <c r="FO523" s="46"/>
      <c r="FP523" s="46"/>
      <c r="FQ523" s="46"/>
      <c r="FR523" s="46"/>
      <c r="FS523" s="46"/>
      <c r="FT523" s="46"/>
      <c r="FU523" s="46"/>
      <c r="FV523" s="46"/>
      <c r="FW523" s="46"/>
      <c r="FX523" s="46"/>
      <c r="FY523" s="46"/>
      <c r="FZ523" s="46"/>
      <c r="GA523" s="46"/>
      <c r="GB523" s="46"/>
      <c r="GC523" s="46"/>
      <c r="GD523" s="46"/>
      <c r="GE523" s="46"/>
      <c r="GF523" s="46"/>
    </row>
    <row r="524" spans="1:188">
      <c r="A524" s="143"/>
      <c r="B524" s="143"/>
      <c r="C524" s="47"/>
      <c r="D524" s="48"/>
      <c r="E524" s="45"/>
      <c r="F524" s="45"/>
      <c r="G524" s="45"/>
      <c r="H524" s="45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6"/>
      <c r="EL524" s="46"/>
      <c r="EM524" s="46"/>
      <c r="EN524" s="46"/>
      <c r="EO524" s="46"/>
      <c r="EP524" s="46"/>
      <c r="EQ524" s="46"/>
      <c r="ER524" s="46"/>
      <c r="ES524" s="46"/>
      <c r="ET524" s="46"/>
      <c r="EU524" s="46"/>
      <c r="EV524" s="46"/>
      <c r="EW524" s="46"/>
      <c r="EX524" s="46"/>
      <c r="EY524" s="46"/>
      <c r="EZ524" s="46"/>
      <c r="FA524" s="46"/>
      <c r="FB524" s="46"/>
      <c r="FC524" s="46"/>
      <c r="FD524" s="46"/>
      <c r="FE524" s="46"/>
      <c r="FF524" s="46"/>
      <c r="FG524" s="46"/>
      <c r="FH524" s="46"/>
      <c r="FI524" s="46"/>
      <c r="FJ524" s="46"/>
      <c r="FK524" s="46"/>
      <c r="FL524" s="46"/>
      <c r="FM524" s="46"/>
      <c r="FN524" s="46"/>
      <c r="FO524" s="46"/>
      <c r="FP524" s="46"/>
      <c r="FQ524" s="46"/>
      <c r="FR524" s="46"/>
      <c r="FS524" s="46"/>
      <c r="FT524" s="46"/>
      <c r="FU524" s="46"/>
      <c r="FV524" s="46"/>
      <c r="FW524" s="46"/>
      <c r="FX524" s="46"/>
      <c r="FY524" s="46"/>
      <c r="FZ524" s="46"/>
      <c r="GA524" s="46"/>
      <c r="GB524" s="46"/>
      <c r="GC524" s="46"/>
      <c r="GD524" s="46"/>
      <c r="GE524" s="46"/>
      <c r="GF524" s="46"/>
    </row>
    <row r="525" spans="1:188">
      <c r="A525" s="143"/>
      <c r="B525" s="143"/>
      <c r="C525" s="47"/>
      <c r="D525" s="48"/>
      <c r="E525" s="45"/>
      <c r="F525" s="45"/>
      <c r="G525" s="45"/>
      <c r="H525" s="45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  <c r="FI525" s="46"/>
      <c r="FJ525" s="46"/>
      <c r="FK525" s="46"/>
      <c r="FL525" s="46"/>
      <c r="FM525" s="46"/>
      <c r="FN525" s="46"/>
      <c r="FO525" s="46"/>
      <c r="FP525" s="46"/>
      <c r="FQ525" s="46"/>
      <c r="FR525" s="46"/>
      <c r="FS525" s="46"/>
      <c r="FT525" s="46"/>
      <c r="FU525" s="46"/>
      <c r="FV525" s="46"/>
      <c r="FW525" s="46"/>
      <c r="FX525" s="46"/>
      <c r="FY525" s="46"/>
      <c r="FZ525" s="46"/>
      <c r="GA525" s="46"/>
      <c r="GB525" s="46"/>
      <c r="GC525" s="46"/>
      <c r="GD525" s="46"/>
      <c r="GE525" s="46"/>
      <c r="GF525" s="46"/>
    </row>
    <row r="526" spans="1:188">
      <c r="A526" s="143"/>
      <c r="B526" s="143"/>
      <c r="C526" s="47"/>
      <c r="D526" s="48"/>
      <c r="E526" s="45"/>
      <c r="F526" s="45"/>
      <c r="G526" s="45"/>
      <c r="H526" s="45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6"/>
      <c r="EL526" s="46"/>
      <c r="EM526" s="46"/>
      <c r="EN526" s="46"/>
      <c r="EO526" s="46"/>
      <c r="EP526" s="46"/>
      <c r="EQ526" s="46"/>
      <c r="ER526" s="46"/>
      <c r="ES526" s="46"/>
      <c r="ET526" s="46"/>
      <c r="EU526" s="46"/>
      <c r="EV526" s="46"/>
      <c r="EW526" s="46"/>
      <c r="EX526" s="46"/>
      <c r="EY526" s="46"/>
      <c r="EZ526" s="46"/>
      <c r="FA526" s="46"/>
      <c r="FB526" s="46"/>
      <c r="FC526" s="46"/>
      <c r="FD526" s="46"/>
      <c r="FE526" s="46"/>
      <c r="FF526" s="46"/>
      <c r="FG526" s="46"/>
      <c r="FH526" s="46"/>
      <c r="FI526" s="46"/>
      <c r="FJ526" s="46"/>
      <c r="FK526" s="46"/>
      <c r="FL526" s="46"/>
      <c r="FM526" s="46"/>
      <c r="FN526" s="46"/>
      <c r="FO526" s="46"/>
      <c r="FP526" s="46"/>
      <c r="FQ526" s="46"/>
      <c r="FR526" s="46"/>
      <c r="FS526" s="46"/>
      <c r="FT526" s="46"/>
      <c r="FU526" s="46"/>
      <c r="FV526" s="46"/>
      <c r="FW526" s="46"/>
      <c r="FX526" s="46"/>
      <c r="FY526" s="46"/>
      <c r="FZ526" s="46"/>
      <c r="GA526" s="46"/>
      <c r="GB526" s="46"/>
      <c r="GC526" s="46"/>
      <c r="GD526" s="46"/>
      <c r="GE526" s="46"/>
      <c r="GF526" s="46"/>
    </row>
    <row r="527" spans="1:188">
      <c r="A527" s="143"/>
      <c r="B527" s="143"/>
      <c r="C527" s="47"/>
      <c r="D527" s="48"/>
      <c r="E527" s="45"/>
      <c r="F527" s="45"/>
      <c r="G527" s="45"/>
      <c r="H527" s="45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6"/>
      <c r="EK527" s="46"/>
      <c r="EL527" s="46"/>
      <c r="EM527" s="46"/>
      <c r="EN527" s="46"/>
      <c r="EO527" s="46"/>
      <c r="EP527" s="46"/>
      <c r="EQ527" s="46"/>
      <c r="ER527" s="46"/>
      <c r="ES527" s="46"/>
      <c r="ET527" s="46"/>
      <c r="EU527" s="46"/>
      <c r="EV527" s="46"/>
      <c r="EW527" s="46"/>
      <c r="EX527" s="46"/>
      <c r="EY527" s="46"/>
      <c r="EZ527" s="46"/>
      <c r="FA527" s="46"/>
      <c r="FB527" s="46"/>
      <c r="FC527" s="46"/>
      <c r="FD527" s="46"/>
      <c r="FE527" s="46"/>
      <c r="FF527" s="46"/>
      <c r="FG527" s="46"/>
      <c r="FH527" s="46"/>
      <c r="FI527" s="46"/>
      <c r="FJ527" s="46"/>
      <c r="FK527" s="46"/>
      <c r="FL527" s="46"/>
      <c r="FM527" s="46"/>
      <c r="FN527" s="46"/>
      <c r="FO527" s="46"/>
      <c r="FP527" s="46"/>
      <c r="FQ527" s="46"/>
      <c r="FR527" s="46"/>
      <c r="FS527" s="46"/>
      <c r="FT527" s="46"/>
      <c r="FU527" s="46"/>
      <c r="FV527" s="46"/>
      <c r="FW527" s="46"/>
      <c r="FX527" s="46"/>
      <c r="FY527" s="46"/>
      <c r="FZ527" s="46"/>
      <c r="GA527" s="46"/>
      <c r="GB527" s="46"/>
      <c r="GC527" s="46"/>
      <c r="GD527" s="46"/>
      <c r="GE527" s="46"/>
      <c r="GF527" s="46"/>
    </row>
    <row r="528" spans="1:188">
      <c r="A528" s="143"/>
      <c r="B528" s="143"/>
      <c r="C528" s="47"/>
      <c r="D528" s="48"/>
      <c r="E528" s="45"/>
      <c r="F528" s="45"/>
      <c r="G528" s="45"/>
      <c r="H528" s="45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6"/>
      <c r="EL528" s="46"/>
      <c r="EM528" s="46"/>
      <c r="EN528" s="46"/>
      <c r="EO528" s="46"/>
      <c r="EP528" s="46"/>
      <c r="EQ528" s="46"/>
      <c r="ER528" s="46"/>
      <c r="ES528" s="46"/>
      <c r="ET528" s="46"/>
      <c r="EU528" s="46"/>
      <c r="EV528" s="46"/>
      <c r="EW528" s="46"/>
      <c r="EX528" s="46"/>
      <c r="EY528" s="46"/>
      <c r="EZ528" s="46"/>
      <c r="FA528" s="46"/>
      <c r="FB528" s="46"/>
      <c r="FC528" s="46"/>
      <c r="FD528" s="46"/>
      <c r="FE528" s="46"/>
      <c r="FF528" s="46"/>
      <c r="FG528" s="46"/>
      <c r="FH528" s="46"/>
      <c r="FI528" s="46"/>
      <c r="FJ528" s="46"/>
      <c r="FK528" s="46"/>
      <c r="FL528" s="46"/>
      <c r="FM528" s="46"/>
      <c r="FN528" s="46"/>
      <c r="FO528" s="46"/>
      <c r="FP528" s="46"/>
      <c r="FQ528" s="46"/>
      <c r="FR528" s="46"/>
      <c r="FS528" s="46"/>
      <c r="FT528" s="46"/>
      <c r="FU528" s="46"/>
      <c r="FV528" s="46"/>
      <c r="FW528" s="46"/>
      <c r="FX528" s="46"/>
      <c r="FY528" s="46"/>
      <c r="FZ528" s="46"/>
      <c r="GA528" s="46"/>
      <c r="GB528" s="46"/>
      <c r="GC528" s="46"/>
      <c r="GD528" s="46"/>
      <c r="GE528" s="46"/>
      <c r="GF528" s="46"/>
    </row>
    <row r="529" spans="1:188">
      <c r="A529" s="143"/>
      <c r="B529" s="143"/>
      <c r="C529" s="47"/>
      <c r="D529" s="48"/>
      <c r="E529" s="45"/>
      <c r="F529" s="45"/>
      <c r="G529" s="45"/>
      <c r="H529" s="45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6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6"/>
      <c r="EK529" s="46"/>
      <c r="EL529" s="46"/>
      <c r="EM529" s="46"/>
      <c r="EN529" s="46"/>
      <c r="EO529" s="46"/>
      <c r="EP529" s="46"/>
      <c r="EQ529" s="46"/>
      <c r="ER529" s="46"/>
      <c r="ES529" s="46"/>
      <c r="ET529" s="46"/>
      <c r="EU529" s="46"/>
      <c r="EV529" s="46"/>
      <c r="EW529" s="46"/>
      <c r="EX529" s="46"/>
      <c r="EY529" s="46"/>
      <c r="EZ529" s="46"/>
      <c r="FA529" s="46"/>
      <c r="FB529" s="46"/>
      <c r="FC529" s="46"/>
      <c r="FD529" s="46"/>
      <c r="FE529" s="46"/>
      <c r="FF529" s="46"/>
      <c r="FG529" s="46"/>
      <c r="FH529" s="46"/>
      <c r="FI529" s="46"/>
      <c r="FJ529" s="46"/>
      <c r="FK529" s="46"/>
      <c r="FL529" s="46"/>
      <c r="FM529" s="46"/>
      <c r="FN529" s="46"/>
      <c r="FO529" s="46"/>
      <c r="FP529" s="46"/>
      <c r="FQ529" s="46"/>
      <c r="FR529" s="46"/>
      <c r="FS529" s="46"/>
      <c r="FT529" s="46"/>
      <c r="FU529" s="46"/>
      <c r="FV529" s="46"/>
      <c r="FW529" s="46"/>
      <c r="FX529" s="46"/>
      <c r="FY529" s="46"/>
      <c r="FZ529" s="46"/>
      <c r="GA529" s="46"/>
      <c r="GB529" s="46"/>
      <c r="GC529" s="46"/>
      <c r="GD529" s="46"/>
      <c r="GE529" s="46"/>
      <c r="GF529" s="46"/>
    </row>
    <row r="530" spans="1:188">
      <c r="A530" s="143"/>
      <c r="B530" s="143"/>
      <c r="C530" s="47"/>
      <c r="D530" s="48"/>
      <c r="E530" s="45"/>
      <c r="F530" s="45"/>
      <c r="G530" s="45"/>
      <c r="H530" s="45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  <c r="EX530" s="46"/>
      <c r="EY530" s="46"/>
      <c r="EZ530" s="46"/>
      <c r="FA530" s="46"/>
      <c r="FB530" s="46"/>
      <c r="FC530" s="46"/>
      <c r="FD530" s="46"/>
      <c r="FE530" s="46"/>
      <c r="FF530" s="46"/>
      <c r="FG530" s="46"/>
      <c r="FH530" s="46"/>
      <c r="FI530" s="46"/>
      <c r="FJ530" s="46"/>
      <c r="FK530" s="46"/>
      <c r="FL530" s="46"/>
      <c r="FM530" s="46"/>
      <c r="FN530" s="46"/>
      <c r="FO530" s="46"/>
      <c r="FP530" s="46"/>
      <c r="FQ530" s="46"/>
      <c r="FR530" s="46"/>
      <c r="FS530" s="46"/>
      <c r="FT530" s="46"/>
      <c r="FU530" s="46"/>
      <c r="FV530" s="46"/>
      <c r="FW530" s="46"/>
      <c r="FX530" s="46"/>
      <c r="FY530" s="46"/>
      <c r="FZ530" s="46"/>
      <c r="GA530" s="46"/>
      <c r="GB530" s="46"/>
      <c r="GC530" s="46"/>
      <c r="GD530" s="46"/>
      <c r="GE530" s="46"/>
      <c r="GF530" s="46"/>
    </row>
    <row r="531" spans="1:188">
      <c r="A531" s="143"/>
      <c r="B531" s="143"/>
      <c r="C531" s="47"/>
      <c r="D531" s="48"/>
      <c r="E531" s="45"/>
      <c r="F531" s="45"/>
      <c r="G531" s="45"/>
      <c r="H531" s="45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6"/>
      <c r="EK531" s="46"/>
      <c r="EL531" s="46"/>
      <c r="EM531" s="46"/>
      <c r="EN531" s="46"/>
      <c r="EO531" s="46"/>
      <c r="EP531" s="46"/>
      <c r="EQ531" s="46"/>
      <c r="ER531" s="46"/>
      <c r="ES531" s="46"/>
      <c r="ET531" s="46"/>
      <c r="EU531" s="46"/>
      <c r="EV531" s="46"/>
      <c r="EW531" s="46"/>
      <c r="EX531" s="46"/>
      <c r="EY531" s="46"/>
      <c r="EZ531" s="46"/>
      <c r="FA531" s="46"/>
      <c r="FB531" s="46"/>
      <c r="FC531" s="46"/>
      <c r="FD531" s="46"/>
      <c r="FE531" s="46"/>
      <c r="FF531" s="46"/>
      <c r="FG531" s="46"/>
      <c r="FH531" s="46"/>
      <c r="FI531" s="46"/>
      <c r="FJ531" s="46"/>
      <c r="FK531" s="46"/>
      <c r="FL531" s="46"/>
      <c r="FM531" s="46"/>
      <c r="FN531" s="46"/>
      <c r="FO531" s="46"/>
      <c r="FP531" s="46"/>
      <c r="FQ531" s="46"/>
      <c r="FR531" s="46"/>
      <c r="FS531" s="46"/>
      <c r="FT531" s="46"/>
      <c r="FU531" s="46"/>
      <c r="FV531" s="46"/>
      <c r="FW531" s="46"/>
      <c r="FX531" s="46"/>
      <c r="FY531" s="46"/>
      <c r="FZ531" s="46"/>
      <c r="GA531" s="46"/>
      <c r="GB531" s="46"/>
      <c r="GC531" s="46"/>
      <c r="GD531" s="46"/>
      <c r="GE531" s="46"/>
      <c r="GF531" s="46"/>
    </row>
    <row r="532" spans="1:188">
      <c r="A532" s="143"/>
      <c r="B532" s="143"/>
      <c r="C532" s="47"/>
      <c r="D532" s="48"/>
      <c r="E532" s="45"/>
      <c r="F532" s="45"/>
      <c r="G532" s="45"/>
      <c r="H532" s="45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6"/>
      <c r="DF532" s="46"/>
      <c r="DG532" s="46"/>
      <c r="DH532" s="46"/>
      <c r="DI532" s="46"/>
      <c r="DJ532" s="46"/>
      <c r="DK532" s="46"/>
      <c r="DL532" s="46"/>
      <c r="DM532" s="46"/>
      <c r="DN532" s="46"/>
      <c r="DO532" s="46"/>
      <c r="DP532" s="46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46"/>
      <c r="EC532" s="46"/>
      <c r="ED532" s="46"/>
      <c r="EE532" s="46"/>
      <c r="EF532" s="46"/>
      <c r="EG532" s="46"/>
      <c r="EH532" s="46"/>
      <c r="EI532" s="46"/>
      <c r="EJ532" s="46"/>
      <c r="EK532" s="46"/>
      <c r="EL532" s="46"/>
      <c r="EM532" s="46"/>
      <c r="EN532" s="46"/>
      <c r="EO532" s="46"/>
      <c r="EP532" s="46"/>
      <c r="EQ532" s="46"/>
      <c r="ER532" s="46"/>
      <c r="ES532" s="46"/>
      <c r="ET532" s="46"/>
      <c r="EU532" s="46"/>
      <c r="EV532" s="46"/>
      <c r="EW532" s="46"/>
      <c r="EX532" s="46"/>
      <c r="EY532" s="46"/>
      <c r="EZ532" s="46"/>
      <c r="FA532" s="46"/>
      <c r="FB532" s="46"/>
      <c r="FC532" s="46"/>
      <c r="FD532" s="46"/>
      <c r="FE532" s="46"/>
      <c r="FF532" s="46"/>
      <c r="FG532" s="46"/>
      <c r="FH532" s="46"/>
      <c r="FI532" s="46"/>
      <c r="FJ532" s="46"/>
      <c r="FK532" s="46"/>
      <c r="FL532" s="46"/>
      <c r="FM532" s="46"/>
      <c r="FN532" s="46"/>
      <c r="FO532" s="46"/>
      <c r="FP532" s="46"/>
      <c r="FQ532" s="46"/>
      <c r="FR532" s="46"/>
      <c r="FS532" s="46"/>
      <c r="FT532" s="46"/>
      <c r="FU532" s="46"/>
      <c r="FV532" s="46"/>
      <c r="FW532" s="46"/>
      <c r="FX532" s="46"/>
      <c r="FY532" s="46"/>
      <c r="FZ532" s="46"/>
      <c r="GA532" s="46"/>
      <c r="GB532" s="46"/>
      <c r="GC532" s="46"/>
      <c r="GD532" s="46"/>
      <c r="GE532" s="46"/>
      <c r="GF532" s="46"/>
    </row>
    <row r="533" spans="1:188">
      <c r="A533" s="143"/>
      <c r="B533" s="143"/>
      <c r="C533" s="47"/>
      <c r="D533" s="48"/>
      <c r="E533" s="45"/>
      <c r="F533" s="45"/>
      <c r="G533" s="45"/>
      <c r="H533" s="45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6"/>
      <c r="DF533" s="46"/>
      <c r="DG533" s="46"/>
      <c r="DH533" s="46"/>
      <c r="DI533" s="46"/>
      <c r="DJ533" s="46"/>
      <c r="DK533" s="46"/>
      <c r="DL533" s="46"/>
      <c r="DM533" s="46"/>
      <c r="DN533" s="46"/>
      <c r="DO533" s="46"/>
      <c r="DP533" s="46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46"/>
      <c r="EC533" s="46"/>
      <c r="ED533" s="46"/>
      <c r="EE533" s="46"/>
      <c r="EF533" s="46"/>
      <c r="EG533" s="46"/>
      <c r="EH533" s="46"/>
      <c r="EI533" s="46"/>
      <c r="EJ533" s="46"/>
      <c r="EK533" s="46"/>
      <c r="EL533" s="46"/>
      <c r="EM533" s="46"/>
      <c r="EN533" s="46"/>
      <c r="EO533" s="46"/>
      <c r="EP533" s="46"/>
      <c r="EQ533" s="46"/>
      <c r="ER533" s="46"/>
      <c r="ES533" s="46"/>
      <c r="ET533" s="46"/>
      <c r="EU533" s="46"/>
      <c r="EV533" s="46"/>
      <c r="EW533" s="46"/>
      <c r="EX533" s="46"/>
      <c r="EY533" s="46"/>
      <c r="EZ533" s="46"/>
      <c r="FA533" s="46"/>
      <c r="FB533" s="46"/>
      <c r="FC533" s="46"/>
      <c r="FD533" s="46"/>
      <c r="FE533" s="46"/>
      <c r="FF533" s="46"/>
      <c r="FG533" s="46"/>
      <c r="FH533" s="46"/>
      <c r="FI533" s="46"/>
      <c r="FJ533" s="46"/>
      <c r="FK533" s="46"/>
      <c r="FL533" s="46"/>
      <c r="FM533" s="46"/>
      <c r="FN533" s="46"/>
      <c r="FO533" s="46"/>
      <c r="FP533" s="46"/>
      <c r="FQ533" s="46"/>
      <c r="FR533" s="46"/>
      <c r="FS533" s="46"/>
      <c r="FT533" s="46"/>
      <c r="FU533" s="46"/>
      <c r="FV533" s="46"/>
      <c r="FW533" s="46"/>
      <c r="FX533" s="46"/>
      <c r="FY533" s="46"/>
      <c r="FZ533" s="46"/>
      <c r="GA533" s="46"/>
      <c r="GB533" s="46"/>
      <c r="GC533" s="46"/>
      <c r="GD533" s="46"/>
      <c r="GE533" s="46"/>
      <c r="GF533" s="46"/>
    </row>
    <row r="534" spans="1:188">
      <c r="A534" s="143"/>
      <c r="B534" s="143"/>
      <c r="C534" s="47"/>
      <c r="D534" s="48"/>
      <c r="E534" s="45"/>
      <c r="F534" s="45"/>
      <c r="G534" s="45"/>
      <c r="H534" s="45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6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6"/>
      <c r="EL534" s="46"/>
      <c r="EM534" s="46"/>
      <c r="EN534" s="46"/>
      <c r="EO534" s="46"/>
      <c r="EP534" s="46"/>
      <c r="EQ534" s="46"/>
      <c r="ER534" s="46"/>
      <c r="ES534" s="46"/>
      <c r="ET534" s="46"/>
      <c r="EU534" s="46"/>
      <c r="EV534" s="46"/>
      <c r="EW534" s="46"/>
      <c r="EX534" s="46"/>
      <c r="EY534" s="46"/>
      <c r="EZ534" s="46"/>
      <c r="FA534" s="46"/>
      <c r="FB534" s="46"/>
      <c r="FC534" s="46"/>
      <c r="FD534" s="46"/>
      <c r="FE534" s="46"/>
      <c r="FF534" s="46"/>
      <c r="FG534" s="46"/>
      <c r="FH534" s="46"/>
      <c r="FI534" s="46"/>
      <c r="FJ534" s="46"/>
      <c r="FK534" s="46"/>
      <c r="FL534" s="46"/>
      <c r="FM534" s="46"/>
      <c r="FN534" s="46"/>
      <c r="FO534" s="46"/>
      <c r="FP534" s="46"/>
      <c r="FQ534" s="46"/>
      <c r="FR534" s="46"/>
      <c r="FS534" s="46"/>
      <c r="FT534" s="46"/>
      <c r="FU534" s="46"/>
      <c r="FV534" s="46"/>
      <c r="FW534" s="46"/>
      <c r="FX534" s="46"/>
      <c r="FY534" s="46"/>
      <c r="FZ534" s="46"/>
      <c r="GA534" s="46"/>
      <c r="GB534" s="46"/>
      <c r="GC534" s="46"/>
      <c r="GD534" s="46"/>
      <c r="GE534" s="46"/>
      <c r="GF534" s="46"/>
    </row>
    <row r="535" spans="1:188">
      <c r="A535" s="143"/>
      <c r="B535" s="143"/>
      <c r="C535" s="47"/>
      <c r="D535" s="48"/>
      <c r="E535" s="45"/>
      <c r="F535" s="45"/>
      <c r="G535" s="45"/>
      <c r="H535" s="45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  <c r="FI535" s="46"/>
      <c r="FJ535" s="46"/>
      <c r="FK535" s="46"/>
      <c r="FL535" s="46"/>
      <c r="FM535" s="46"/>
      <c r="FN535" s="46"/>
      <c r="FO535" s="46"/>
      <c r="FP535" s="46"/>
      <c r="FQ535" s="46"/>
      <c r="FR535" s="46"/>
      <c r="FS535" s="46"/>
      <c r="FT535" s="46"/>
      <c r="FU535" s="46"/>
      <c r="FV535" s="46"/>
      <c r="FW535" s="46"/>
      <c r="FX535" s="46"/>
      <c r="FY535" s="46"/>
      <c r="FZ535" s="46"/>
      <c r="GA535" s="46"/>
      <c r="GB535" s="46"/>
      <c r="GC535" s="46"/>
      <c r="GD535" s="46"/>
      <c r="GE535" s="46"/>
      <c r="GF535" s="46"/>
    </row>
    <row r="536" spans="1:188">
      <c r="A536" s="143"/>
      <c r="B536" s="143"/>
      <c r="C536" s="47"/>
      <c r="D536" s="48"/>
      <c r="E536" s="45"/>
      <c r="F536" s="45"/>
      <c r="G536" s="45"/>
      <c r="H536" s="45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6"/>
      <c r="EK536" s="46"/>
      <c r="EL536" s="46"/>
      <c r="EM536" s="46"/>
      <c r="EN536" s="46"/>
      <c r="EO536" s="46"/>
      <c r="EP536" s="46"/>
      <c r="EQ536" s="46"/>
      <c r="ER536" s="46"/>
      <c r="ES536" s="46"/>
      <c r="ET536" s="46"/>
      <c r="EU536" s="46"/>
      <c r="EV536" s="46"/>
      <c r="EW536" s="46"/>
      <c r="EX536" s="46"/>
      <c r="EY536" s="46"/>
      <c r="EZ536" s="46"/>
      <c r="FA536" s="46"/>
      <c r="FB536" s="46"/>
      <c r="FC536" s="46"/>
      <c r="FD536" s="46"/>
      <c r="FE536" s="46"/>
      <c r="FF536" s="46"/>
      <c r="FG536" s="46"/>
      <c r="FH536" s="46"/>
      <c r="FI536" s="46"/>
      <c r="FJ536" s="46"/>
      <c r="FK536" s="46"/>
      <c r="FL536" s="46"/>
      <c r="FM536" s="46"/>
      <c r="FN536" s="46"/>
      <c r="FO536" s="46"/>
      <c r="FP536" s="46"/>
      <c r="FQ536" s="46"/>
      <c r="FR536" s="46"/>
      <c r="FS536" s="46"/>
      <c r="FT536" s="46"/>
      <c r="FU536" s="46"/>
      <c r="FV536" s="46"/>
      <c r="FW536" s="46"/>
      <c r="FX536" s="46"/>
      <c r="FY536" s="46"/>
      <c r="FZ536" s="46"/>
      <c r="GA536" s="46"/>
      <c r="GB536" s="46"/>
      <c r="GC536" s="46"/>
      <c r="GD536" s="46"/>
      <c r="GE536" s="46"/>
      <c r="GF536" s="46"/>
    </row>
    <row r="537" spans="1:188">
      <c r="A537" s="143"/>
      <c r="B537" s="143"/>
      <c r="C537" s="47"/>
      <c r="D537" s="48"/>
      <c r="E537" s="45"/>
      <c r="F537" s="45"/>
      <c r="G537" s="45"/>
      <c r="H537" s="45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6"/>
      <c r="EL537" s="46"/>
      <c r="EM537" s="46"/>
      <c r="EN537" s="46"/>
      <c r="EO537" s="46"/>
      <c r="EP537" s="46"/>
      <c r="EQ537" s="46"/>
      <c r="ER537" s="46"/>
      <c r="ES537" s="46"/>
      <c r="ET537" s="46"/>
      <c r="EU537" s="46"/>
      <c r="EV537" s="46"/>
      <c r="EW537" s="46"/>
      <c r="EX537" s="46"/>
      <c r="EY537" s="46"/>
      <c r="EZ537" s="46"/>
      <c r="FA537" s="46"/>
      <c r="FB537" s="46"/>
      <c r="FC537" s="46"/>
      <c r="FD537" s="46"/>
      <c r="FE537" s="46"/>
      <c r="FF537" s="46"/>
      <c r="FG537" s="46"/>
      <c r="FH537" s="46"/>
      <c r="FI537" s="46"/>
      <c r="FJ537" s="46"/>
      <c r="FK537" s="46"/>
      <c r="FL537" s="46"/>
      <c r="FM537" s="46"/>
      <c r="FN537" s="46"/>
      <c r="FO537" s="46"/>
      <c r="FP537" s="46"/>
      <c r="FQ537" s="46"/>
      <c r="FR537" s="46"/>
      <c r="FS537" s="46"/>
      <c r="FT537" s="46"/>
      <c r="FU537" s="46"/>
      <c r="FV537" s="46"/>
      <c r="FW537" s="46"/>
      <c r="FX537" s="46"/>
      <c r="FY537" s="46"/>
      <c r="FZ537" s="46"/>
      <c r="GA537" s="46"/>
      <c r="GB537" s="46"/>
      <c r="GC537" s="46"/>
      <c r="GD537" s="46"/>
      <c r="GE537" s="46"/>
      <c r="GF537" s="46"/>
    </row>
    <row r="538" spans="1:188">
      <c r="A538" s="143"/>
      <c r="B538" s="143"/>
      <c r="C538" s="47"/>
      <c r="D538" s="48"/>
      <c r="E538" s="45"/>
      <c r="F538" s="45"/>
      <c r="G538" s="45"/>
      <c r="H538" s="45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6"/>
      <c r="EK538" s="46"/>
      <c r="EL538" s="46"/>
      <c r="EM538" s="46"/>
      <c r="EN538" s="46"/>
      <c r="EO538" s="46"/>
      <c r="EP538" s="46"/>
      <c r="EQ538" s="46"/>
      <c r="ER538" s="46"/>
      <c r="ES538" s="46"/>
      <c r="ET538" s="46"/>
      <c r="EU538" s="46"/>
      <c r="EV538" s="46"/>
      <c r="EW538" s="46"/>
      <c r="EX538" s="46"/>
      <c r="EY538" s="46"/>
      <c r="EZ538" s="46"/>
      <c r="FA538" s="46"/>
      <c r="FB538" s="46"/>
      <c r="FC538" s="46"/>
      <c r="FD538" s="46"/>
      <c r="FE538" s="46"/>
      <c r="FF538" s="46"/>
      <c r="FG538" s="46"/>
      <c r="FH538" s="46"/>
      <c r="FI538" s="46"/>
      <c r="FJ538" s="46"/>
      <c r="FK538" s="46"/>
      <c r="FL538" s="46"/>
      <c r="FM538" s="46"/>
      <c r="FN538" s="46"/>
      <c r="FO538" s="46"/>
      <c r="FP538" s="46"/>
      <c r="FQ538" s="46"/>
      <c r="FR538" s="46"/>
      <c r="FS538" s="46"/>
      <c r="FT538" s="46"/>
      <c r="FU538" s="46"/>
      <c r="FV538" s="46"/>
      <c r="FW538" s="46"/>
      <c r="FX538" s="46"/>
      <c r="FY538" s="46"/>
      <c r="FZ538" s="46"/>
      <c r="GA538" s="46"/>
      <c r="GB538" s="46"/>
      <c r="GC538" s="46"/>
      <c r="GD538" s="46"/>
      <c r="GE538" s="46"/>
      <c r="GF538" s="46"/>
    </row>
    <row r="539" spans="1:188">
      <c r="A539" s="143"/>
      <c r="B539" s="143"/>
      <c r="C539" s="47"/>
      <c r="D539" s="48"/>
      <c r="E539" s="45"/>
      <c r="F539" s="45"/>
      <c r="G539" s="45"/>
      <c r="H539" s="45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  <c r="FI539" s="46"/>
      <c r="FJ539" s="46"/>
      <c r="FK539" s="46"/>
      <c r="FL539" s="46"/>
      <c r="FM539" s="46"/>
      <c r="FN539" s="46"/>
      <c r="FO539" s="46"/>
      <c r="FP539" s="46"/>
      <c r="FQ539" s="46"/>
      <c r="FR539" s="46"/>
      <c r="FS539" s="46"/>
      <c r="FT539" s="46"/>
      <c r="FU539" s="46"/>
      <c r="FV539" s="46"/>
      <c r="FW539" s="46"/>
      <c r="FX539" s="46"/>
      <c r="FY539" s="46"/>
      <c r="FZ539" s="46"/>
      <c r="GA539" s="46"/>
      <c r="GB539" s="46"/>
      <c r="GC539" s="46"/>
      <c r="GD539" s="46"/>
      <c r="GE539" s="46"/>
      <c r="GF539" s="46"/>
    </row>
    <row r="540" spans="1:188">
      <c r="A540" s="143"/>
      <c r="B540" s="143"/>
      <c r="C540" s="47"/>
      <c r="D540" s="48"/>
      <c r="E540" s="45"/>
      <c r="F540" s="45"/>
      <c r="G540" s="45"/>
      <c r="H540" s="45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  <c r="FI540" s="46"/>
      <c r="FJ540" s="46"/>
      <c r="FK540" s="46"/>
      <c r="FL540" s="46"/>
      <c r="FM540" s="46"/>
      <c r="FN540" s="46"/>
      <c r="FO540" s="46"/>
      <c r="FP540" s="46"/>
      <c r="FQ540" s="46"/>
      <c r="FR540" s="46"/>
      <c r="FS540" s="46"/>
      <c r="FT540" s="46"/>
      <c r="FU540" s="46"/>
      <c r="FV540" s="46"/>
      <c r="FW540" s="46"/>
      <c r="FX540" s="46"/>
      <c r="FY540" s="46"/>
      <c r="FZ540" s="46"/>
      <c r="GA540" s="46"/>
      <c r="GB540" s="46"/>
      <c r="GC540" s="46"/>
      <c r="GD540" s="46"/>
      <c r="GE540" s="46"/>
      <c r="GF540" s="46"/>
    </row>
    <row r="541" spans="1:188">
      <c r="A541" s="143"/>
      <c r="B541" s="143"/>
      <c r="C541" s="47"/>
      <c r="D541" s="48"/>
      <c r="E541" s="45"/>
      <c r="F541" s="45"/>
      <c r="G541" s="45"/>
      <c r="H541" s="45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6"/>
      <c r="EK541" s="46"/>
      <c r="EL541" s="46"/>
      <c r="EM541" s="46"/>
      <c r="EN541" s="46"/>
      <c r="EO541" s="46"/>
      <c r="EP541" s="46"/>
      <c r="EQ541" s="46"/>
      <c r="ER541" s="46"/>
      <c r="ES541" s="46"/>
      <c r="ET541" s="46"/>
      <c r="EU541" s="46"/>
      <c r="EV541" s="46"/>
      <c r="EW541" s="46"/>
      <c r="EX541" s="46"/>
      <c r="EY541" s="46"/>
      <c r="EZ541" s="46"/>
      <c r="FA541" s="46"/>
      <c r="FB541" s="46"/>
      <c r="FC541" s="46"/>
      <c r="FD541" s="46"/>
      <c r="FE541" s="46"/>
      <c r="FF541" s="46"/>
      <c r="FG541" s="46"/>
      <c r="FH541" s="46"/>
      <c r="FI541" s="46"/>
      <c r="FJ541" s="46"/>
      <c r="FK541" s="46"/>
      <c r="FL541" s="46"/>
      <c r="FM541" s="46"/>
      <c r="FN541" s="46"/>
      <c r="FO541" s="46"/>
      <c r="FP541" s="46"/>
      <c r="FQ541" s="46"/>
      <c r="FR541" s="46"/>
      <c r="FS541" s="46"/>
      <c r="FT541" s="46"/>
      <c r="FU541" s="46"/>
      <c r="FV541" s="46"/>
      <c r="FW541" s="46"/>
      <c r="FX541" s="46"/>
      <c r="FY541" s="46"/>
      <c r="FZ541" s="46"/>
      <c r="GA541" s="46"/>
      <c r="GB541" s="46"/>
      <c r="GC541" s="46"/>
      <c r="GD541" s="46"/>
      <c r="GE541" s="46"/>
      <c r="GF541" s="46"/>
    </row>
    <row r="542" spans="1:188">
      <c r="A542" s="143"/>
      <c r="B542" s="143"/>
      <c r="C542" s="47"/>
      <c r="D542" s="48"/>
      <c r="E542" s="45"/>
      <c r="F542" s="45"/>
      <c r="G542" s="45"/>
      <c r="H542" s="45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  <c r="FI542" s="46"/>
      <c r="FJ542" s="46"/>
      <c r="FK542" s="46"/>
      <c r="FL542" s="46"/>
      <c r="FM542" s="46"/>
      <c r="FN542" s="46"/>
      <c r="FO542" s="46"/>
      <c r="FP542" s="46"/>
      <c r="FQ542" s="46"/>
      <c r="FR542" s="46"/>
      <c r="FS542" s="46"/>
      <c r="FT542" s="46"/>
      <c r="FU542" s="46"/>
      <c r="FV542" s="46"/>
      <c r="FW542" s="46"/>
      <c r="FX542" s="46"/>
      <c r="FY542" s="46"/>
      <c r="FZ542" s="46"/>
      <c r="GA542" s="46"/>
      <c r="GB542" s="46"/>
      <c r="GC542" s="46"/>
      <c r="GD542" s="46"/>
      <c r="GE542" s="46"/>
      <c r="GF542" s="46"/>
    </row>
    <row r="543" spans="1:188">
      <c r="A543" s="143"/>
      <c r="B543" s="143"/>
      <c r="C543" s="47"/>
      <c r="D543" s="48"/>
      <c r="E543" s="45"/>
      <c r="F543" s="45"/>
      <c r="G543" s="45"/>
      <c r="H543" s="45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6"/>
      <c r="EL543" s="46"/>
      <c r="EM543" s="46"/>
      <c r="EN543" s="46"/>
      <c r="EO543" s="46"/>
      <c r="EP543" s="46"/>
      <c r="EQ543" s="46"/>
      <c r="ER543" s="46"/>
      <c r="ES543" s="46"/>
      <c r="ET543" s="46"/>
      <c r="EU543" s="46"/>
      <c r="EV543" s="46"/>
      <c r="EW543" s="46"/>
      <c r="EX543" s="46"/>
      <c r="EY543" s="46"/>
      <c r="EZ543" s="46"/>
      <c r="FA543" s="46"/>
      <c r="FB543" s="46"/>
      <c r="FC543" s="46"/>
      <c r="FD543" s="46"/>
      <c r="FE543" s="46"/>
      <c r="FF543" s="46"/>
      <c r="FG543" s="46"/>
      <c r="FH543" s="46"/>
      <c r="FI543" s="46"/>
      <c r="FJ543" s="46"/>
      <c r="FK543" s="46"/>
      <c r="FL543" s="46"/>
      <c r="FM543" s="46"/>
      <c r="FN543" s="46"/>
      <c r="FO543" s="46"/>
      <c r="FP543" s="46"/>
      <c r="FQ543" s="46"/>
      <c r="FR543" s="46"/>
      <c r="FS543" s="46"/>
      <c r="FT543" s="46"/>
      <c r="FU543" s="46"/>
      <c r="FV543" s="46"/>
      <c r="FW543" s="46"/>
      <c r="FX543" s="46"/>
      <c r="FY543" s="46"/>
      <c r="FZ543" s="46"/>
      <c r="GA543" s="46"/>
      <c r="GB543" s="46"/>
      <c r="GC543" s="46"/>
      <c r="GD543" s="46"/>
      <c r="GE543" s="46"/>
      <c r="GF543" s="46"/>
    </row>
    <row r="544" spans="1:188">
      <c r="A544" s="143"/>
      <c r="B544" s="143"/>
      <c r="C544" s="47"/>
      <c r="D544" s="48"/>
      <c r="E544" s="45"/>
      <c r="F544" s="45"/>
      <c r="G544" s="45"/>
      <c r="H544" s="45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  <c r="FI544" s="46"/>
      <c r="FJ544" s="46"/>
      <c r="FK544" s="46"/>
      <c r="FL544" s="46"/>
      <c r="FM544" s="46"/>
      <c r="FN544" s="46"/>
      <c r="FO544" s="46"/>
      <c r="FP544" s="46"/>
      <c r="FQ544" s="46"/>
      <c r="FR544" s="46"/>
      <c r="FS544" s="46"/>
      <c r="FT544" s="46"/>
      <c r="FU544" s="46"/>
      <c r="FV544" s="46"/>
      <c r="FW544" s="46"/>
      <c r="FX544" s="46"/>
      <c r="FY544" s="46"/>
      <c r="FZ544" s="46"/>
      <c r="GA544" s="46"/>
      <c r="GB544" s="46"/>
      <c r="GC544" s="46"/>
      <c r="GD544" s="46"/>
      <c r="GE544" s="46"/>
      <c r="GF544" s="46"/>
    </row>
    <row r="545" spans="1:188">
      <c r="A545" s="143"/>
      <c r="B545" s="143"/>
      <c r="C545" s="47"/>
      <c r="D545" s="48"/>
      <c r="E545" s="45"/>
      <c r="F545" s="45"/>
      <c r="G545" s="45"/>
      <c r="H545" s="45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  <c r="FZ545" s="46"/>
      <c r="GA545" s="46"/>
      <c r="GB545" s="46"/>
      <c r="GC545" s="46"/>
      <c r="GD545" s="46"/>
      <c r="GE545" s="46"/>
      <c r="GF545" s="46"/>
    </row>
    <row r="546" spans="1:188">
      <c r="A546" s="143"/>
      <c r="B546" s="143"/>
      <c r="C546" s="47"/>
      <c r="D546" s="48"/>
      <c r="E546" s="45"/>
      <c r="F546" s="45"/>
      <c r="G546" s="45"/>
      <c r="H546" s="45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  <c r="FI546" s="46"/>
      <c r="FJ546" s="46"/>
      <c r="FK546" s="46"/>
      <c r="FL546" s="46"/>
      <c r="FM546" s="46"/>
      <c r="FN546" s="46"/>
      <c r="FO546" s="46"/>
      <c r="FP546" s="46"/>
      <c r="FQ546" s="46"/>
      <c r="FR546" s="46"/>
      <c r="FS546" s="46"/>
      <c r="FT546" s="46"/>
      <c r="FU546" s="46"/>
      <c r="FV546" s="46"/>
      <c r="FW546" s="46"/>
      <c r="FX546" s="46"/>
      <c r="FY546" s="46"/>
      <c r="FZ546" s="46"/>
      <c r="GA546" s="46"/>
      <c r="GB546" s="46"/>
      <c r="GC546" s="46"/>
      <c r="GD546" s="46"/>
      <c r="GE546" s="46"/>
      <c r="GF546" s="46"/>
    </row>
    <row r="547" spans="1:188">
      <c r="A547" s="143"/>
      <c r="B547" s="143"/>
      <c r="C547" s="47"/>
      <c r="D547" s="48"/>
      <c r="E547" s="45"/>
      <c r="F547" s="45"/>
      <c r="G547" s="45"/>
      <c r="H547" s="45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  <c r="FI547" s="46"/>
      <c r="FJ547" s="46"/>
      <c r="FK547" s="46"/>
      <c r="FL547" s="46"/>
      <c r="FM547" s="46"/>
      <c r="FN547" s="46"/>
      <c r="FO547" s="46"/>
      <c r="FP547" s="46"/>
      <c r="FQ547" s="46"/>
      <c r="FR547" s="46"/>
      <c r="FS547" s="46"/>
      <c r="FT547" s="46"/>
      <c r="FU547" s="46"/>
      <c r="FV547" s="46"/>
      <c r="FW547" s="46"/>
      <c r="FX547" s="46"/>
      <c r="FY547" s="46"/>
      <c r="FZ547" s="46"/>
      <c r="GA547" s="46"/>
      <c r="GB547" s="46"/>
      <c r="GC547" s="46"/>
      <c r="GD547" s="46"/>
      <c r="GE547" s="46"/>
      <c r="GF547" s="46"/>
    </row>
    <row r="548" spans="1:188">
      <c r="A548" s="143"/>
      <c r="B548" s="143"/>
      <c r="C548" s="47"/>
      <c r="D548" s="48"/>
      <c r="E548" s="45"/>
      <c r="F548" s="45"/>
      <c r="G548" s="45"/>
      <c r="H548" s="45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6"/>
      <c r="EK548" s="46"/>
      <c r="EL548" s="46"/>
      <c r="EM548" s="46"/>
      <c r="EN548" s="46"/>
      <c r="EO548" s="46"/>
      <c r="EP548" s="46"/>
      <c r="EQ548" s="46"/>
      <c r="ER548" s="46"/>
      <c r="ES548" s="46"/>
      <c r="ET548" s="46"/>
      <c r="EU548" s="46"/>
      <c r="EV548" s="46"/>
      <c r="EW548" s="46"/>
      <c r="EX548" s="46"/>
      <c r="EY548" s="46"/>
      <c r="EZ548" s="46"/>
      <c r="FA548" s="46"/>
      <c r="FB548" s="46"/>
      <c r="FC548" s="46"/>
      <c r="FD548" s="46"/>
      <c r="FE548" s="46"/>
      <c r="FF548" s="46"/>
      <c r="FG548" s="46"/>
      <c r="FH548" s="46"/>
      <c r="FI548" s="46"/>
      <c r="FJ548" s="46"/>
      <c r="FK548" s="46"/>
      <c r="FL548" s="46"/>
      <c r="FM548" s="46"/>
      <c r="FN548" s="46"/>
      <c r="FO548" s="46"/>
      <c r="FP548" s="46"/>
      <c r="FQ548" s="46"/>
      <c r="FR548" s="46"/>
      <c r="FS548" s="46"/>
      <c r="FT548" s="46"/>
      <c r="FU548" s="46"/>
      <c r="FV548" s="46"/>
      <c r="FW548" s="46"/>
      <c r="FX548" s="46"/>
      <c r="FY548" s="46"/>
      <c r="FZ548" s="46"/>
      <c r="GA548" s="46"/>
      <c r="GB548" s="46"/>
      <c r="GC548" s="46"/>
      <c r="GD548" s="46"/>
      <c r="GE548" s="46"/>
      <c r="GF548" s="46"/>
    </row>
    <row r="549" spans="1:188">
      <c r="A549" s="143"/>
      <c r="B549" s="143"/>
      <c r="C549" s="47"/>
      <c r="D549" s="48"/>
      <c r="E549" s="45"/>
      <c r="F549" s="45"/>
      <c r="G549" s="45"/>
      <c r="H549" s="45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  <c r="FI549" s="46"/>
      <c r="FJ549" s="46"/>
      <c r="FK549" s="46"/>
      <c r="FL549" s="46"/>
      <c r="FM549" s="46"/>
      <c r="FN549" s="46"/>
      <c r="FO549" s="46"/>
      <c r="FP549" s="46"/>
      <c r="FQ549" s="46"/>
      <c r="FR549" s="46"/>
      <c r="FS549" s="46"/>
      <c r="FT549" s="46"/>
      <c r="FU549" s="46"/>
      <c r="FV549" s="46"/>
      <c r="FW549" s="46"/>
      <c r="FX549" s="46"/>
      <c r="FY549" s="46"/>
      <c r="FZ549" s="46"/>
      <c r="GA549" s="46"/>
      <c r="GB549" s="46"/>
      <c r="GC549" s="46"/>
      <c r="GD549" s="46"/>
      <c r="GE549" s="46"/>
      <c r="GF549" s="46"/>
    </row>
    <row r="550" spans="1:188">
      <c r="A550" s="143"/>
      <c r="B550" s="143"/>
      <c r="C550" s="47"/>
      <c r="D550" s="48"/>
      <c r="E550" s="45"/>
      <c r="F550" s="45"/>
      <c r="G550" s="45"/>
      <c r="H550" s="45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6"/>
      <c r="EL550" s="46"/>
      <c r="EM550" s="46"/>
      <c r="EN550" s="46"/>
      <c r="EO550" s="46"/>
      <c r="EP550" s="46"/>
      <c r="EQ550" s="46"/>
      <c r="ER550" s="46"/>
      <c r="ES550" s="46"/>
      <c r="ET550" s="46"/>
      <c r="EU550" s="46"/>
      <c r="EV550" s="46"/>
      <c r="EW550" s="46"/>
      <c r="EX550" s="46"/>
      <c r="EY550" s="46"/>
      <c r="EZ550" s="46"/>
      <c r="FA550" s="46"/>
      <c r="FB550" s="46"/>
      <c r="FC550" s="46"/>
      <c r="FD550" s="46"/>
      <c r="FE550" s="46"/>
      <c r="FF550" s="46"/>
      <c r="FG550" s="46"/>
      <c r="FH550" s="46"/>
      <c r="FI550" s="46"/>
      <c r="FJ550" s="46"/>
      <c r="FK550" s="46"/>
      <c r="FL550" s="46"/>
      <c r="FM550" s="46"/>
      <c r="FN550" s="46"/>
      <c r="FO550" s="46"/>
      <c r="FP550" s="46"/>
      <c r="FQ550" s="46"/>
      <c r="FR550" s="46"/>
      <c r="FS550" s="46"/>
      <c r="FT550" s="46"/>
      <c r="FU550" s="46"/>
      <c r="FV550" s="46"/>
      <c r="FW550" s="46"/>
      <c r="FX550" s="46"/>
      <c r="FY550" s="46"/>
      <c r="FZ550" s="46"/>
      <c r="GA550" s="46"/>
      <c r="GB550" s="46"/>
      <c r="GC550" s="46"/>
      <c r="GD550" s="46"/>
      <c r="GE550" s="46"/>
      <c r="GF550" s="46"/>
    </row>
    <row r="551" spans="1:188">
      <c r="A551" s="143"/>
      <c r="B551" s="143"/>
      <c r="C551" s="47"/>
      <c r="D551" s="48"/>
      <c r="E551" s="45"/>
      <c r="F551" s="45"/>
      <c r="G551" s="45"/>
      <c r="H551" s="45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6"/>
      <c r="EK551" s="46"/>
      <c r="EL551" s="46"/>
      <c r="EM551" s="46"/>
      <c r="EN551" s="46"/>
      <c r="EO551" s="46"/>
      <c r="EP551" s="46"/>
      <c r="EQ551" s="46"/>
      <c r="ER551" s="46"/>
      <c r="ES551" s="46"/>
      <c r="ET551" s="46"/>
      <c r="EU551" s="46"/>
      <c r="EV551" s="46"/>
      <c r="EW551" s="46"/>
      <c r="EX551" s="46"/>
      <c r="EY551" s="46"/>
      <c r="EZ551" s="46"/>
      <c r="FA551" s="46"/>
      <c r="FB551" s="46"/>
      <c r="FC551" s="46"/>
      <c r="FD551" s="46"/>
      <c r="FE551" s="46"/>
      <c r="FF551" s="46"/>
      <c r="FG551" s="46"/>
      <c r="FH551" s="46"/>
      <c r="FI551" s="46"/>
      <c r="FJ551" s="46"/>
      <c r="FK551" s="46"/>
      <c r="FL551" s="46"/>
      <c r="FM551" s="46"/>
      <c r="FN551" s="46"/>
      <c r="FO551" s="46"/>
      <c r="FP551" s="46"/>
      <c r="FQ551" s="46"/>
      <c r="FR551" s="46"/>
      <c r="FS551" s="46"/>
      <c r="FT551" s="46"/>
      <c r="FU551" s="46"/>
      <c r="FV551" s="46"/>
      <c r="FW551" s="46"/>
      <c r="FX551" s="46"/>
      <c r="FY551" s="46"/>
      <c r="FZ551" s="46"/>
      <c r="GA551" s="46"/>
      <c r="GB551" s="46"/>
      <c r="GC551" s="46"/>
      <c r="GD551" s="46"/>
      <c r="GE551" s="46"/>
      <c r="GF551" s="46"/>
    </row>
    <row r="552" spans="1:188">
      <c r="A552" s="143"/>
      <c r="B552" s="143"/>
      <c r="C552" s="47"/>
      <c r="D552" s="48"/>
      <c r="E552" s="45"/>
      <c r="F552" s="45"/>
      <c r="G552" s="45"/>
      <c r="H552" s="45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6"/>
      <c r="EK552" s="46"/>
      <c r="EL552" s="46"/>
      <c r="EM552" s="46"/>
      <c r="EN552" s="46"/>
      <c r="EO552" s="46"/>
      <c r="EP552" s="46"/>
      <c r="EQ552" s="46"/>
      <c r="ER552" s="46"/>
      <c r="ES552" s="46"/>
      <c r="ET552" s="46"/>
      <c r="EU552" s="46"/>
      <c r="EV552" s="46"/>
      <c r="EW552" s="46"/>
      <c r="EX552" s="46"/>
      <c r="EY552" s="46"/>
      <c r="EZ552" s="46"/>
      <c r="FA552" s="46"/>
      <c r="FB552" s="46"/>
      <c r="FC552" s="46"/>
      <c r="FD552" s="46"/>
      <c r="FE552" s="46"/>
      <c r="FF552" s="46"/>
      <c r="FG552" s="46"/>
      <c r="FH552" s="46"/>
      <c r="FI552" s="46"/>
      <c r="FJ552" s="46"/>
      <c r="FK552" s="46"/>
      <c r="FL552" s="46"/>
      <c r="FM552" s="46"/>
      <c r="FN552" s="46"/>
      <c r="FO552" s="46"/>
      <c r="FP552" s="46"/>
      <c r="FQ552" s="46"/>
      <c r="FR552" s="46"/>
      <c r="FS552" s="46"/>
      <c r="FT552" s="46"/>
      <c r="FU552" s="46"/>
      <c r="FV552" s="46"/>
      <c r="FW552" s="46"/>
      <c r="FX552" s="46"/>
      <c r="FY552" s="46"/>
      <c r="FZ552" s="46"/>
      <c r="GA552" s="46"/>
      <c r="GB552" s="46"/>
      <c r="GC552" s="46"/>
      <c r="GD552" s="46"/>
      <c r="GE552" s="46"/>
      <c r="GF552" s="46"/>
    </row>
    <row r="553" spans="1:188">
      <c r="A553" s="143"/>
      <c r="B553" s="143"/>
      <c r="C553" s="47"/>
      <c r="D553" s="48"/>
      <c r="E553" s="45"/>
      <c r="F553" s="45"/>
      <c r="G553" s="45"/>
      <c r="H553" s="45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6"/>
      <c r="EL553" s="46"/>
      <c r="EM553" s="46"/>
      <c r="EN553" s="46"/>
      <c r="EO553" s="46"/>
      <c r="EP553" s="46"/>
      <c r="EQ553" s="46"/>
      <c r="ER553" s="46"/>
      <c r="ES553" s="46"/>
      <c r="ET553" s="46"/>
      <c r="EU553" s="46"/>
      <c r="EV553" s="46"/>
      <c r="EW553" s="46"/>
      <c r="EX553" s="46"/>
      <c r="EY553" s="46"/>
      <c r="EZ553" s="46"/>
      <c r="FA553" s="46"/>
      <c r="FB553" s="46"/>
      <c r="FC553" s="46"/>
      <c r="FD553" s="46"/>
      <c r="FE553" s="46"/>
      <c r="FF553" s="46"/>
      <c r="FG553" s="46"/>
      <c r="FH553" s="46"/>
      <c r="FI553" s="46"/>
      <c r="FJ553" s="46"/>
      <c r="FK553" s="46"/>
      <c r="FL553" s="46"/>
      <c r="FM553" s="46"/>
      <c r="FN553" s="46"/>
      <c r="FO553" s="46"/>
      <c r="FP553" s="46"/>
      <c r="FQ553" s="46"/>
      <c r="FR553" s="46"/>
      <c r="FS553" s="46"/>
      <c r="FT553" s="46"/>
      <c r="FU553" s="46"/>
      <c r="FV553" s="46"/>
      <c r="FW553" s="46"/>
      <c r="FX553" s="46"/>
      <c r="FY553" s="46"/>
      <c r="FZ553" s="46"/>
      <c r="GA553" s="46"/>
      <c r="GB553" s="46"/>
      <c r="GC553" s="46"/>
      <c r="GD553" s="46"/>
      <c r="GE553" s="46"/>
      <c r="GF553" s="46"/>
    </row>
    <row r="554" spans="1:188">
      <c r="A554" s="143"/>
      <c r="B554" s="143"/>
      <c r="C554" s="47"/>
      <c r="D554" s="48"/>
      <c r="E554" s="45"/>
      <c r="F554" s="45"/>
      <c r="G554" s="45"/>
      <c r="H554" s="45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6"/>
      <c r="EL554" s="46"/>
      <c r="EM554" s="46"/>
      <c r="EN554" s="46"/>
      <c r="EO554" s="46"/>
      <c r="EP554" s="46"/>
      <c r="EQ554" s="46"/>
      <c r="ER554" s="46"/>
      <c r="ES554" s="46"/>
      <c r="ET554" s="46"/>
      <c r="EU554" s="46"/>
      <c r="EV554" s="46"/>
      <c r="EW554" s="46"/>
      <c r="EX554" s="46"/>
      <c r="EY554" s="46"/>
      <c r="EZ554" s="46"/>
      <c r="FA554" s="46"/>
      <c r="FB554" s="46"/>
      <c r="FC554" s="46"/>
      <c r="FD554" s="46"/>
      <c r="FE554" s="46"/>
      <c r="FF554" s="46"/>
      <c r="FG554" s="46"/>
      <c r="FH554" s="46"/>
      <c r="FI554" s="46"/>
      <c r="FJ554" s="46"/>
      <c r="FK554" s="46"/>
      <c r="FL554" s="46"/>
      <c r="FM554" s="46"/>
      <c r="FN554" s="46"/>
      <c r="FO554" s="46"/>
      <c r="FP554" s="46"/>
      <c r="FQ554" s="46"/>
      <c r="FR554" s="46"/>
      <c r="FS554" s="46"/>
      <c r="FT554" s="46"/>
      <c r="FU554" s="46"/>
      <c r="FV554" s="46"/>
      <c r="FW554" s="46"/>
      <c r="FX554" s="46"/>
      <c r="FY554" s="46"/>
      <c r="FZ554" s="46"/>
      <c r="GA554" s="46"/>
      <c r="GB554" s="46"/>
      <c r="GC554" s="46"/>
      <c r="GD554" s="46"/>
      <c r="GE554" s="46"/>
      <c r="GF554" s="46"/>
    </row>
    <row r="555" spans="1:188">
      <c r="A555" s="143"/>
      <c r="B555" s="143"/>
      <c r="C555" s="47"/>
      <c r="D555" s="48"/>
      <c r="E555" s="45"/>
      <c r="F555" s="45"/>
      <c r="G555" s="45"/>
      <c r="H555" s="45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6"/>
      <c r="EL555" s="46"/>
      <c r="EM555" s="46"/>
      <c r="EN555" s="46"/>
      <c r="EO555" s="46"/>
      <c r="EP555" s="46"/>
      <c r="EQ555" s="46"/>
      <c r="ER555" s="46"/>
      <c r="ES555" s="46"/>
      <c r="ET555" s="46"/>
      <c r="EU555" s="46"/>
      <c r="EV555" s="46"/>
      <c r="EW555" s="46"/>
      <c r="EX555" s="46"/>
      <c r="EY555" s="46"/>
      <c r="EZ555" s="46"/>
      <c r="FA555" s="46"/>
      <c r="FB555" s="46"/>
      <c r="FC555" s="46"/>
      <c r="FD555" s="46"/>
      <c r="FE555" s="46"/>
      <c r="FF555" s="46"/>
      <c r="FG555" s="46"/>
      <c r="FH555" s="46"/>
      <c r="FI555" s="46"/>
      <c r="FJ555" s="46"/>
      <c r="FK555" s="46"/>
      <c r="FL555" s="46"/>
      <c r="FM555" s="46"/>
      <c r="FN555" s="46"/>
      <c r="FO555" s="46"/>
      <c r="FP555" s="46"/>
      <c r="FQ555" s="46"/>
      <c r="FR555" s="46"/>
      <c r="FS555" s="46"/>
      <c r="FT555" s="46"/>
      <c r="FU555" s="46"/>
      <c r="FV555" s="46"/>
      <c r="FW555" s="46"/>
      <c r="FX555" s="46"/>
      <c r="FY555" s="46"/>
      <c r="FZ555" s="46"/>
      <c r="GA555" s="46"/>
      <c r="GB555" s="46"/>
      <c r="GC555" s="46"/>
      <c r="GD555" s="46"/>
      <c r="GE555" s="46"/>
      <c r="GF555" s="46"/>
    </row>
    <row r="556" spans="1:188">
      <c r="A556" s="143"/>
      <c r="B556" s="143"/>
      <c r="C556" s="47"/>
      <c r="D556" s="48"/>
      <c r="E556" s="45"/>
      <c r="F556" s="45"/>
      <c r="G556" s="45"/>
      <c r="H556" s="45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6"/>
      <c r="EL556" s="46"/>
      <c r="EM556" s="46"/>
      <c r="EN556" s="46"/>
      <c r="EO556" s="46"/>
      <c r="EP556" s="46"/>
      <c r="EQ556" s="46"/>
      <c r="ER556" s="46"/>
      <c r="ES556" s="46"/>
      <c r="ET556" s="46"/>
      <c r="EU556" s="46"/>
      <c r="EV556" s="46"/>
      <c r="EW556" s="46"/>
      <c r="EX556" s="46"/>
      <c r="EY556" s="46"/>
      <c r="EZ556" s="46"/>
      <c r="FA556" s="46"/>
      <c r="FB556" s="46"/>
      <c r="FC556" s="46"/>
      <c r="FD556" s="46"/>
      <c r="FE556" s="46"/>
      <c r="FF556" s="46"/>
      <c r="FG556" s="46"/>
      <c r="FH556" s="46"/>
      <c r="FI556" s="46"/>
      <c r="FJ556" s="46"/>
      <c r="FK556" s="46"/>
      <c r="FL556" s="46"/>
      <c r="FM556" s="46"/>
      <c r="FN556" s="46"/>
      <c r="FO556" s="46"/>
      <c r="FP556" s="46"/>
      <c r="FQ556" s="46"/>
      <c r="FR556" s="46"/>
      <c r="FS556" s="46"/>
      <c r="FT556" s="46"/>
      <c r="FU556" s="46"/>
      <c r="FV556" s="46"/>
      <c r="FW556" s="46"/>
      <c r="FX556" s="46"/>
      <c r="FY556" s="46"/>
      <c r="FZ556" s="46"/>
      <c r="GA556" s="46"/>
      <c r="GB556" s="46"/>
      <c r="GC556" s="46"/>
      <c r="GD556" s="46"/>
      <c r="GE556" s="46"/>
      <c r="GF556" s="46"/>
    </row>
    <row r="557" spans="1:188">
      <c r="A557" s="143"/>
      <c r="B557" s="143"/>
      <c r="C557" s="47"/>
      <c r="D557" s="48"/>
      <c r="E557" s="45"/>
      <c r="F557" s="45"/>
      <c r="G557" s="45"/>
      <c r="H557" s="45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6"/>
      <c r="EL557" s="46"/>
      <c r="EM557" s="46"/>
      <c r="EN557" s="46"/>
      <c r="EO557" s="46"/>
      <c r="EP557" s="46"/>
      <c r="EQ557" s="46"/>
      <c r="ER557" s="46"/>
      <c r="ES557" s="46"/>
      <c r="ET557" s="46"/>
      <c r="EU557" s="46"/>
      <c r="EV557" s="46"/>
      <c r="EW557" s="46"/>
      <c r="EX557" s="46"/>
      <c r="EY557" s="46"/>
      <c r="EZ557" s="46"/>
      <c r="FA557" s="46"/>
      <c r="FB557" s="46"/>
      <c r="FC557" s="46"/>
      <c r="FD557" s="46"/>
      <c r="FE557" s="46"/>
      <c r="FF557" s="46"/>
      <c r="FG557" s="46"/>
      <c r="FH557" s="46"/>
      <c r="FI557" s="46"/>
      <c r="FJ557" s="46"/>
      <c r="FK557" s="46"/>
      <c r="FL557" s="46"/>
      <c r="FM557" s="46"/>
      <c r="FN557" s="46"/>
      <c r="FO557" s="46"/>
      <c r="FP557" s="46"/>
      <c r="FQ557" s="46"/>
      <c r="FR557" s="46"/>
      <c r="FS557" s="46"/>
      <c r="FT557" s="46"/>
      <c r="FU557" s="46"/>
      <c r="FV557" s="46"/>
      <c r="FW557" s="46"/>
      <c r="FX557" s="46"/>
      <c r="FY557" s="46"/>
      <c r="FZ557" s="46"/>
      <c r="GA557" s="46"/>
      <c r="GB557" s="46"/>
      <c r="GC557" s="46"/>
      <c r="GD557" s="46"/>
      <c r="GE557" s="46"/>
      <c r="GF557" s="46"/>
    </row>
    <row r="558" spans="1:188">
      <c r="A558" s="143"/>
      <c r="B558" s="143"/>
      <c r="C558" s="47"/>
      <c r="D558" s="48"/>
      <c r="E558" s="45"/>
      <c r="F558" s="45"/>
      <c r="G558" s="45"/>
      <c r="H558" s="45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6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6"/>
      <c r="EL558" s="46"/>
      <c r="EM558" s="46"/>
      <c r="EN558" s="46"/>
      <c r="EO558" s="46"/>
      <c r="EP558" s="46"/>
      <c r="EQ558" s="46"/>
      <c r="ER558" s="46"/>
      <c r="ES558" s="46"/>
      <c r="ET558" s="46"/>
      <c r="EU558" s="46"/>
      <c r="EV558" s="46"/>
      <c r="EW558" s="46"/>
      <c r="EX558" s="46"/>
      <c r="EY558" s="46"/>
      <c r="EZ558" s="46"/>
      <c r="FA558" s="46"/>
      <c r="FB558" s="46"/>
      <c r="FC558" s="46"/>
      <c r="FD558" s="46"/>
      <c r="FE558" s="46"/>
      <c r="FF558" s="46"/>
      <c r="FG558" s="46"/>
      <c r="FH558" s="46"/>
      <c r="FI558" s="46"/>
      <c r="FJ558" s="46"/>
      <c r="FK558" s="46"/>
      <c r="FL558" s="46"/>
      <c r="FM558" s="46"/>
      <c r="FN558" s="46"/>
      <c r="FO558" s="46"/>
      <c r="FP558" s="46"/>
      <c r="FQ558" s="46"/>
      <c r="FR558" s="46"/>
      <c r="FS558" s="46"/>
      <c r="FT558" s="46"/>
      <c r="FU558" s="46"/>
      <c r="FV558" s="46"/>
      <c r="FW558" s="46"/>
      <c r="FX558" s="46"/>
      <c r="FY558" s="46"/>
      <c r="FZ558" s="46"/>
      <c r="GA558" s="46"/>
      <c r="GB558" s="46"/>
      <c r="GC558" s="46"/>
      <c r="GD558" s="46"/>
      <c r="GE558" s="46"/>
      <c r="GF558" s="46"/>
    </row>
    <row r="559" spans="1:188">
      <c r="A559" s="143"/>
      <c r="B559" s="143"/>
      <c r="C559" s="47"/>
      <c r="D559" s="48"/>
      <c r="E559" s="45"/>
      <c r="F559" s="45"/>
      <c r="G559" s="45"/>
      <c r="H559" s="45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6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6"/>
      <c r="EL559" s="46"/>
      <c r="EM559" s="46"/>
      <c r="EN559" s="46"/>
      <c r="EO559" s="46"/>
      <c r="EP559" s="46"/>
      <c r="EQ559" s="46"/>
      <c r="ER559" s="46"/>
      <c r="ES559" s="46"/>
      <c r="ET559" s="46"/>
      <c r="EU559" s="46"/>
      <c r="EV559" s="46"/>
      <c r="EW559" s="46"/>
      <c r="EX559" s="46"/>
      <c r="EY559" s="46"/>
      <c r="EZ559" s="46"/>
      <c r="FA559" s="46"/>
      <c r="FB559" s="46"/>
      <c r="FC559" s="46"/>
      <c r="FD559" s="46"/>
      <c r="FE559" s="46"/>
      <c r="FF559" s="46"/>
      <c r="FG559" s="46"/>
      <c r="FH559" s="46"/>
      <c r="FI559" s="46"/>
      <c r="FJ559" s="46"/>
      <c r="FK559" s="46"/>
      <c r="FL559" s="46"/>
      <c r="FM559" s="46"/>
      <c r="FN559" s="46"/>
      <c r="FO559" s="46"/>
      <c r="FP559" s="46"/>
      <c r="FQ559" s="46"/>
      <c r="FR559" s="46"/>
      <c r="FS559" s="46"/>
      <c r="FT559" s="46"/>
      <c r="FU559" s="46"/>
      <c r="FV559" s="46"/>
      <c r="FW559" s="46"/>
      <c r="FX559" s="46"/>
      <c r="FY559" s="46"/>
      <c r="FZ559" s="46"/>
      <c r="GA559" s="46"/>
      <c r="GB559" s="46"/>
      <c r="GC559" s="46"/>
      <c r="GD559" s="46"/>
      <c r="GE559" s="46"/>
      <c r="GF559" s="46"/>
    </row>
    <row r="560" spans="1:188">
      <c r="A560" s="143"/>
      <c r="B560" s="143"/>
      <c r="C560" s="47"/>
      <c r="D560" s="48"/>
      <c r="E560" s="45"/>
      <c r="F560" s="45"/>
      <c r="G560" s="45"/>
      <c r="H560" s="45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6"/>
      <c r="EL560" s="46"/>
      <c r="EM560" s="46"/>
      <c r="EN560" s="46"/>
      <c r="EO560" s="46"/>
      <c r="EP560" s="46"/>
      <c r="EQ560" s="46"/>
      <c r="ER560" s="46"/>
      <c r="ES560" s="46"/>
      <c r="ET560" s="46"/>
      <c r="EU560" s="46"/>
      <c r="EV560" s="46"/>
      <c r="EW560" s="46"/>
      <c r="EX560" s="46"/>
      <c r="EY560" s="46"/>
      <c r="EZ560" s="46"/>
      <c r="FA560" s="46"/>
      <c r="FB560" s="46"/>
      <c r="FC560" s="46"/>
      <c r="FD560" s="46"/>
      <c r="FE560" s="46"/>
      <c r="FF560" s="46"/>
      <c r="FG560" s="46"/>
      <c r="FH560" s="46"/>
      <c r="FI560" s="46"/>
      <c r="FJ560" s="46"/>
      <c r="FK560" s="46"/>
      <c r="FL560" s="46"/>
      <c r="FM560" s="46"/>
      <c r="FN560" s="46"/>
      <c r="FO560" s="46"/>
      <c r="FP560" s="46"/>
      <c r="FQ560" s="46"/>
      <c r="FR560" s="46"/>
      <c r="FS560" s="46"/>
      <c r="FT560" s="46"/>
      <c r="FU560" s="46"/>
      <c r="FV560" s="46"/>
      <c r="FW560" s="46"/>
      <c r="FX560" s="46"/>
      <c r="FY560" s="46"/>
      <c r="FZ560" s="46"/>
      <c r="GA560" s="46"/>
      <c r="GB560" s="46"/>
      <c r="GC560" s="46"/>
      <c r="GD560" s="46"/>
      <c r="GE560" s="46"/>
      <c r="GF560" s="46"/>
    </row>
    <row r="561" spans="1:188">
      <c r="A561" s="143"/>
      <c r="B561" s="143"/>
      <c r="C561" s="47"/>
      <c r="D561" s="48"/>
      <c r="E561" s="45"/>
      <c r="F561" s="45"/>
      <c r="G561" s="45"/>
      <c r="H561" s="45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6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6"/>
      <c r="EL561" s="46"/>
      <c r="EM561" s="46"/>
      <c r="EN561" s="46"/>
      <c r="EO561" s="46"/>
      <c r="EP561" s="46"/>
      <c r="EQ561" s="46"/>
      <c r="ER561" s="46"/>
      <c r="ES561" s="46"/>
      <c r="ET561" s="46"/>
      <c r="EU561" s="46"/>
      <c r="EV561" s="46"/>
      <c r="EW561" s="46"/>
      <c r="EX561" s="46"/>
      <c r="EY561" s="46"/>
      <c r="EZ561" s="46"/>
      <c r="FA561" s="46"/>
      <c r="FB561" s="46"/>
      <c r="FC561" s="46"/>
      <c r="FD561" s="46"/>
      <c r="FE561" s="46"/>
      <c r="FF561" s="46"/>
      <c r="FG561" s="46"/>
      <c r="FH561" s="46"/>
      <c r="FI561" s="46"/>
      <c r="FJ561" s="46"/>
      <c r="FK561" s="46"/>
      <c r="FL561" s="46"/>
      <c r="FM561" s="46"/>
      <c r="FN561" s="46"/>
      <c r="FO561" s="46"/>
      <c r="FP561" s="46"/>
      <c r="FQ561" s="46"/>
      <c r="FR561" s="46"/>
      <c r="FS561" s="46"/>
      <c r="FT561" s="46"/>
      <c r="FU561" s="46"/>
      <c r="FV561" s="46"/>
      <c r="FW561" s="46"/>
      <c r="FX561" s="46"/>
      <c r="FY561" s="46"/>
      <c r="FZ561" s="46"/>
      <c r="GA561" s="46"/>
      <c r="GB561" s="46"/>
      <c r="GC561" s="46"/>
      <c r="GD561" s="46"/>
      <c r="GE561" s="46"/>
      <c r="GF561" s="46"/>
    </row>
    <row r="562" spans="1:188">
      <c r="A562" s="143"/>
      <c r="B562" s="143"/>
      <c r="C562" s="47"/>
      <c r="D562" s="48"/>
      <c r="E562" s="45"/>
      <c r="F562" s="45"/>
      <c r="G562" s="45"/>
      <c r="H562" s="45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6"/>
      <c r="EL562" s="46"/>
      <c r="EM562" s="46"/>
      <c r="EN562" s="46"/>
      <c r="EO562" s="46"/>
      <c r="EP562" s="46"/>
      <c r="EQ562" s="46"/>
      <c r="ER562" s="46"/>
      <c r="ES562" s="46"/>
      <c r="ET562" s="46"/>
      <c r="EU562" s="46"/>
      <c r="EV562" s="46"/>
      <c r="EW562" s="46"/>
      <c r="EX562" s="46"/>
      <c r="EY562" s="46"/>
      <c r="EZ562" s="46"/>
      <c r="FA562" s="46"/>
      <c r="FB562" s="46"/>
      <c r="FC562" s="46"/>
      <c r="FD562" s="46"/>
      <c r="FE562" s="46"/>
      <c r="FF562" s="46"/>
      <c r="FG562" s="46"/>
      <c r="FH562" s="46"/>
      <c r="FI562" s="46"/>
      <c r="FJ562" s="46"/>
      <c r="FK562" s="46"/>
      <c r="FL562" s="46"/>
      <c r="FM562" s="46"/>
      <c r="FN562" s="46"/>
      <c r="FO562" s="46"/>
      <c r="FP562" s="46"/>
      <c r="FQ562" s="46"/>
      <c r="FR562" s="46"/>
      <c r="FS562" s="46"/>
      <c r="FT562" s="46"/>
      <c r="FU562" s="46"/>
      <c r="FV562" s="46"/>
      <c r="FW562" s="46"/>
      <c r="FX562" s="46"/>
      <c r="FY562" s="46"/>
      <c r="FZ562" s="46"/>
      <c r="GA562" s="46"/>
      <c r="GB562" s="46"/>
      <c r="GC562" s="46"/>
      <c r="GD562" s="46"/>
      <c r="GE562" s="46"/>
      <c r="GF562" s="46"/>
    </row>
    <row r="563" spans="1:188">
      <c r="A563" s="143"/>
      <c r="B563" s="143"/>
      <c r="C563" s="47"/>
      <c r="D563" s="48"/>
      <c r="E563" s="45"/>
      <c r="F563" s="45"/>
      <c r="G563" s="45"/>
      <c r="H563" s="45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6"/>
      <c r="EK563" s="46"/>
      <c r="EL563" s="46"/>
      <c r="EM563" s="46"/>
      <c r="EN563" s="46"/>
      <c r="EO563" s="46"/>
      <c r="EP563" s="46"/>
      <c r="EQ563" s="46"/>
      <c r="ER563" s="46"/>
      <c r="ES563" s="46"/>
      <c r="ET563" s="46"/>
      <c r="EU563" s="46"/>
      <c r="EV563" s="46"/>
      <c r="EW563" s="46"/>
      <c r="EX563" s="46"/>
      <c r="EY563" s="46"/>
      <c r="EZ563" s="46"/>
      <c r="FA563" s="46"/>
      <c r="FB563" s="46"/>
      <c r="FC563" s="46"/>
      <c r="FD563" s="46"/>
      <c r="FE563" s="46"/>
      <c r="FF563" s="46"/>
      <c r="FG563" s="46"/>
      <c r="FH563" s="46"/>
      <c r="FI563" s="46"/>
      <c r="FJ563" s="46"/>
      <c r="FK563" s="46"/>
      <c r="FL563" s="46"/>
      <c r="FM563" s="46"/>
      <c r="FN563" s="46"/>
      <c r="FO563" s="46"/>
      <c r="FP563" s="46"/>
      <c r="FQ563" s="46"/>
      <c r="FR563" s="46"/>
      <c r="FS563" s="46"/>
      <c r="FT563" s="46"/>
      <c r="FU563" s="46"/>
      <c r="FV563" s="46"/>
      <c r="FW563" s="46"/>
      <c r="FX563" s="46"/>
      <c r="FY563" s="46"/>
      <c r="FZ563" s="46"/>
      <c r="GA563" s="46"/>
      <c r="GB563" s="46"/>
      <c r="GC563" s="46"/>
      <c r="GD563" s="46"/>
      <c r="GE563" s="46"/>
      <c r="GF563" s="46"/>
    </row>
    <row r="564" spans="1:188">
      <c r="A564" s="143"/>
      <c r="B564" s="143"/>
      <c r="C564" s="47"/>
      <c r="D564" s="48"/>
      <c r="E564" s="45"/>
      <c r="F564" s="45"/>
      <c r="G564" s="45"/>
      <c r="H564" s="45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6"/>
      <c r="EL564" s="46"/>
      <c r="EM564" s="46"/>
      <c r="EN564" s="46"/>
      <c r="EO564" s="46"/>
      <c r="EP564" s="46"/>
      <c r="EQ564" s="46"/>
      <c r="ER564" s="46"/>
      <c r="ES564" s="46"/>
      <c r="ET564" s="46"/>
      <c r="EU564" s="46"/>
      <c r="EV564" s="46"/>
      <c r="EW564" s="46"/>
      <c r="EX564" s="46"/>
      <c r="EY564" s="46"/>
      <c r="EZ564" s="46"/>
      <c r="FA564" s="46"/>
      <c r="FB564" s="46"/>
      <c r="FC564" s="46"/>
      <c r="FD564" s="46"/>
      <c r="FE564" s="46"/>
      <c r="FF564" s="46"/>
      <c r="FG564" s="46"/>
      <c r="FH564" s="46"/>
      <c r="FI564" s="46"/>
      <c r="FJ564" s="46"/>
      <c r="FK564" s="46"/>
      <c r="FL564" s="46"/>
      <c r="FM564" s="46"/>
      <c r="FN564" s="46"/>
      <c r="FO564" s="46"/>
      <c r="FP564" s="46"/>
      <c r="FQ564" s="46"/>
      <c r="FR564" s="46"/>
      <c r="FS564" s="46"/>
      <c r="FT564" s="46"/>
      <c r="FU564" s="46"/>
      <c r="FV564" s="46"/>
      <c r="FW564" s="46"/>
      <c r="FX564" s="46"/>
      <c r="FY564" s="46"/>
      <c r="FZ564" s="46"/>
      <c r="GA564" s="46"/>
      <c r="GB564" s="46"/>
      <c r="GC564" s="46"/>
      <c r="GD564" s="46"/>
      <c r="GE564" s="46"/>
      <c r="GF564" s="46"/>
    </row>
    <row r="565" spans="1:188">
      <c r="A565" s="143"/>
      <c r="B565" s="143"/>
      <c r="C565" s="47"/>
      <c r="D565" s="48"/>
      <c r="E565" s="45"/>
      <c r="F565" s="45"/>
      <c r="G565" s="45"/>
      <c r="H565" s="45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6"/>
      <c r="EK565" s="46"/>
      <c r="EL565" s="46"/>
      <c r="EM565" s="46"/>
      <c r="EN565" s="46"/>
      <c r="EO565" s="46"/>
      <c r="EP565" s="46"/>
      <c r="EQ565" s="46"/>
      <c r="ER565" s="46"/>
      <c r="ES565" s="46"/>
      <c r="ET565" s="46"/>
      <c r="EU565" s="46"/>
      <c r="EV565" s="46"/>
      <c r="EW565" s="46"/>
      <c r="EX565" s="46"/>
      <c r="EY565" s="46"/>
      <c r="EZ565" s="46"/>
      <c r="FA565" s="46"/>
      <c r="FB565" s="46"/>
      <c r="FC565" s="46"/>
      <c r="FD565" s="46"/>
      <c r="FE565" s="46"/>
      <c r="FF565" s="46"/>
      <c r="FG565" s="46"/>
      <c r="FH565" s="46"/>
      <c r="FI565" s="46"/>
      <c r="FJ565" s="46"/>
      <c r="FK565" s="46"/>
      <c r="FL565" s="46"/>
      <c r="FM565" s="46"/>
      <c r="FN565" s="46"/>
      <c r="FO565" s="46"/>
      <c r="FP565" s="46"/>
      <c r="FQ565" s="46"/>
      <c r="FR565" s="46"/>
      <c r="FS565" s="46"/>
      <c r="FT565" s="46"/>
      <c r="FU565" s="46"/>
      <c r="FV565" s="46"/>
      <c r="FW565" s="46"/>
      <c r="FX565" s="46"/>
      <c r="FY565" s="46"/>
      <c r="FZ565" s="46"/>
      <c r="GA565" s="46"/>
      <c r="GB565" s="46"/>
      <c r="GC565" s="46"/>
      <c r="GD565" s="46"/>
      <c r="GE565" s="46"/>
      <c r="GF565" s="46"/>
    </row>
    <row r="566" spans="1:188">
      <c r="A566" s="143"/>
      <c r="B566" s="143"/>
      <c r="C566" s="47"/>
      <c r="D566" s="48"/>
      <c r="E566" s="45"/>
      <c r="F566" s="45"/>
      <c r="G566" s="45"/>
      <c r="H566" s="45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6"/>
      <c r="EK566" s="46"/>
      <c r="EL566" s="46"/>
      <c r="EM566" s="46"/>
      <c r="EN566" s="46"/>
      <c r="EO566" s="46"/>
      <c r="EP566" s="46"/>
      <c r="EQ566" s="46"/>
      <c r="ER566" s="46"/>
      <c r="ES566" s="46"/>
      <c r="ET566" s="46"/>
      <c r="EU566" s="46"/>
      <c r="EV566" s="46"/>
      <c r="EW566" s="46"/>
      <c r="EX566" s="46"/>
      <c r="EY566" s="46"/>
      <c r="EZ566" s="46"/>
      <c r="FA566" s="46"/>
      <c r="FB566" s="46"/>
      <c r="FC566" s="46"/>
      <c r="FD566" s="46"/>
      <c r="FE566" s="46"/>
      <c r="FF566" s="46"/>
      <c r="FG566" s="46"/>
      <c r="FH566" s="46"/>
      <c r="FI566" s="46"/>
      <c r="FJ566" s="46"/>
      <c r="FK566" s="46"/>
      <c r="FL566" s="46"/>
      <c r="FM566" s="46"/>
      <c r="FN566" s="46"/>
      <c r="FO566" s="46"/>
      <c r="FP566" s="46"/>
      <c r="FQ566" s="46"/>
      <c r="FR566" s="46"/>
      <c r="FS566" s="46"/>
      <c r="FT566" s="46"/>
      <c r="FU566" s="46"/>
      <c r="FV566" s="46"/>
      <c r="FW566" s="46"/>
      <c r="FX566" s="46"/>
      <c r="FY566" s="46"/>
      <c r="FZ566" s="46"/>
      <c r="GA566" s="46"/>
      <c r="GB566" s="46"/>
      <c r="GC566" s="46"/>
      <c r="GD566" s="46"/>
      <c r="GE566" s="46"/>
      <c r="GF566" s="46"/>
    </row>
    <row r="567" spans="1:188">
      <c r="A567" s="143"/>
      <c r="B567" s="143"/>
      <c r="C567" s="47"/>
      <c r="D567" s="48"/>
      <c r="E567" s="45"/>
      <c r="F567" s="45"/>
      <c r="G567" s="45"/>
      <c r="H567" s="45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6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6"/>
      <c r="EK567" s="46"/>
      <c r="EL567" s="46"/>
      <c r="EM567" s="46"/>
      <c r="EN567" s="46"/>
      <c r="EO567" s="46"/>
      <c r="EP567" s="46"/>
      <c r="EQ567" s="46"/>
      <c r="ER567" s="46"/>
      <c r="ES567" s="46"/>
      <c r="ET567" s="46"/>
      <c r="EU567" s="46"/>
      <c r="EV567" s="46"/>
      <c r="EW567" s="46"/>
      <c r="EX567" s="46"/>
      <c r="EY567" s="46"/>
      <c r="EZ567" s="46"/>
      <c r="FA567" s="46"/>
      <c r="FB567" s="46"/>
      <c r="FC567" s="46"/>
      <c r="FD567" s="46"/>
      <c r="FE567" s="46"/>
      <c r="FF567" s="46"/>
      <c r="FG567" s="46"/>
      <c r="FH567" s="46"/>
      <c r="FI567" s="46"/>
      <c r="FJ567" s="46"/>
      <c r="FK567" s="46"/>
      <c r="FL567" s="46"/>
      <c r="FM567" s="46"/>
      <c r="FN567" s="46"/>
      <c r="FO567" s="46"/>
      <c r="FP567" s="46"/>
      <c r="FQ567" s="46"/>
      <c r="FR567" s="46"/>
      <c r="FS567" s="46"/>
      <c r="FT567" s="46"/>
      <c r="FU567" s="46"/>
      <c r="FV567" s="46"/>
      <c r="FW567" s="46"/>
      <c r="FX567" s="46"/>
      <c r="FY567" s="46"/>
      <c r="FZ567" s="46"/>
      <c r="GA567" s="46"/>
      <c r="GB567" s="46"/>
      <c r="GC567" s="46"/>
      <c r="GD567" s="46"/>
      <c r="GE567" s="46"/>
      <c r="GF567" s="46"/>
    </row>
    <row r="568" spans="1:188">
      <c r="A568" s="143"/>
      <c r="B568" s="143"/>
      <c r="C568" s="47"/>
      <c r="D568" s="48"/>
      <c r="E568" s="45"/>
      <c r="F568" s="45"/>
      <c r="G568" s="45"/>
      <c r="H568" s="45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6"/>
      <c r="EL568" s="46"/>
      <c r="EM568" s="46"/>
      <c r="EN568" s="46"/>
      <c r="EO568" s="46"/>
      <c r="EP568" s="46"/>
      <c r="EQ568" s="46"/>
      <c r="ER568" s="46"/>
      <c r="ES568" s="46"/>
      <c r="ET568" s="46"/>
      <c r="EU568" s="46"/>
      <c r="EV568" s="46"/>
      <c r="EW568" s="46"/>
      <c r="EX568" s="46"/>
      <c r="EY568" s="46"/>
      <c r="EZ568" s="46"/>
      <c r="FA568" s="46"/>
      <c r="FB568" s="46"/>
      <c r="FC568" s="46"/>
      <c r="FD568" s="46"/>
      <c r="FE568" s="46"/>
      <c r="FF568" s="46"/>
      <c r="FG568" s="46"/>
      <c r="FH568" s="46"/>
      <c r="FI568" s="46"/>
      <c r="FJ568" s="46"/>
      <c r="FK568" s="46"/>
      <c r="FL568" s="46"/>
      <c r="FM568" s="46"/>
      <c r="FN568" s="46"/>
      <c r="FO568" s="46"/>
      <c r="FP568" s="46"/>
      <c r="FQ568" s="46"/>
      <c r="FR568" s="46"/>
      <c r="FS568" s="46"/>
      <c r="FT568" s="46"/>
      <c r="FU568" s="46"/>
      <c r="FV568" s="46"/>
      <c r="FW568" s="46"/>
      <c r="FX568" s="46"/>
      <c r="FY568" s="46"/>
      <c r="FZ568" s="46"/>
      <c r="GA568" s="46"/>
      <c r="GB568" s="46"/>
      <c r="GC568" s="46"/>
      <c r="GD568" s="46"/>
      <c r="GE568" s="46"/>
      <c r="GF568" s="46"/>
    </row>
    <row r="569" spans="1:188">
      <c r="A569" s="143"/>
      <c r="B569" s="143"/>
      <c r="C569" s="47"/>
      <c r="D569" s="48"/>
      <c r="E569" s="45"/>
      <c r="F569" s="45"/>
      <c r="G569" s="45"/>
      <c r="H569" s="45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6"/>
      <c r="EL569" s="46"/>
      <c r="EM569" s="46"/>
      <c r="EN569" s="46"/>
      <c r="EO569" s="46"/>
      <c r="EP569" s="46"/>
      <c r="EQ569" s="46"/>
      <c r="ER569" s="46"/>
      <c r="ES569" s="46"/>
      <c r="ET569" s="46"/>
      <c r="EU569" s="46"/>
      <c r="EV569" s="46"/>
      <c r="EW569" s="46"/>
      <c r="EX569" s="46"/>
      <c r="EY569" s="46"/>
      <c r="EZ569" s="46"/>
      <c r="FA569" s="46"/>
      <c r="FB569" s="46"/>
      <c r="FC569" s="46"/>
      <c r="FD569" s="46"/>
      <c r="FE569" s="46"/>
      <c r="FF569" s="46"/>
      <c r="FG569" s="46"/>
      <c r="FH569" s="46"/>
      <c r="FI569" s="46"/>
      <c r="FJ569" s="46"/>
      <c r="FK569" s="46"/>
      <c r="FL569" s="46"/>
      <c r="FM569" s="46"/>
      <c r="FN569" s="46"/>
      <c r="FO569" s="46"/>
      <c r="FP569" s="46"/>
      <c r="FQ569" s="46"/>
      <c r="FR569" s="46"/>
      <c r="FS569" s="46"/>
      <c r="FT569" s="46"/>
      <c r="FU569" s="46"/>
      <c r="FV569" s="46"/>
      <c r="FW569" s="46"/>
      <c r="FX569" s="46"/>
      <c r="FY569" s="46"/>
      <c r="FZ569" s="46"/>
      <c r="GA569" s="46"/>
      <c r="GB569" s="46"/>
      <c r="GC569" s="46"/>
      <c r="GD569" s="46"/>
      <c r="GE569" s="46"/>
      <c r="GF569" s="46"/>
    </row>
    <row r="570" spans="1:188">
      <c r="A570" s="143"/>
      <c r="B570" s="143"/>
      <c r="C570" s="47"/>
      <c r="D570" s="48"/>
      <c r="E570" s="45"/>
      <c r="F570" s="45"/>
      <c r="G570" s="45"/>
      <c r="H570" s="45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6"/>
      <c r="EL570" s="46"/>
      <c r="EM570" s="46"/>
      <c r="EN570" s="46"/>
      <c r="EO570" s="46"/>
      <c r="EP570" s="46"/>
      <c r="EQ570" s="46"/>
      <c r="ER570" s="46"/>
      <c r="ES570" s="46"/>
      <c r="ET570" s="46"/>
      <c r="EU570" s="46"/>
      <c r="EV570" s="46"/>
      <c r="EW570" s="46"/>
      <c r="EX570" s="46"/>
      <c r="EY570" s="46"/>
      <c r="EZ570" s="46"/>
      <c r="FA570" s="46"/>
      <c r="FB570" s="46"/>
      <c r="FC570" s="46"/>
      <c r="FD570" s="46"/>
      <c r="FE570" s="46"/>
      <c r="FF570" s="46"/>
      <c r="FG570" s="46"/>
      <c r="FH570" s="46"/>
      <c r="FI570" s="46"/>
      <c r="FJ570" s="46"/>
      <c r="FK570" s="46"/>
      <c r="FL570" s="46"/>
      <c r="FM570" s="46"/>
      <c r="FN570" s="46"/>
      <c r="FO570" s="46"/>
      <c r="FP570" s="46"/>
      <c r="FQ570" s="46"/>
      <c r="FR570" s="46"/>
      <c r="FS570" s="46"/>
      <c r="FT570" s="46"/>
      <c r="FU570" s="46"/>
      <c r="FV570" s="46"/>
      <c r="FW570" s="46"/>
      <c r="FX570" s="46"/>
      <c r="FY570" s="46"/>
      <c r="FZ570" s="46"/>
      <c r="GA570" s="46"/>
      <c r="GB570" s="46"/>
      <c r="GC570" s="46"/>
      <c r="GD570" s="46"/>
      <c r="GE570" s="46"/>
      <c r="GF570" s="46"/>
    </row>
    <row r="571" spans="1:188">
      <c r="A571" s="143"/>
      <c r="B571" s="143"/>
      <c r="C571" s="47"/>
      <c r="D571" s="48"/>
      <c r="E571" s="45"/>
      <c r="F571" s="45"/>
      <c r="G571" s="45"/>
      <c r="H571" s="45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6"/>
      <c r="EL571" s="46"/>
      <c r="EM571" s="46"/>
      <c r="EN571" s="46"/>
      <c r="EO571" s="46"/>
      <c r="EP571" s="46"/>
      <c r="EQ571" s="46"/>
      <c r="ER571" s="46"/>
      <c r="ES571" s="46"/>
      <c r="ET571" s="46"/>
      <c r="EU571" s="46"/>
      <c r="EV571" s="46"/>
      <c r="EW571" s="46"/>
      <c r="EX571" s="46"/>
      <c r="EY571" s="46"/>
      <c r="EZ571" s="46"/>
      <c r="FA571" s="46"/>
      <c r="FB571" s="46"/>
      <c r="FC571" s="46"/>
      <c r="FD571" s="46"/>
      <c r="FE571" s="46"/>
      <c r="FF571" s="46"/>
      <c r="FG571" s="46"/>
      <c r="FH571" s="46"/>
      <c r="FI571" s="46"/>
      <c r="FJ571" s="46"/>
      <c r="FK571" s="46"/>
      <c r="FL571" s="46"/>
      <c r="FM571" s="46"/>
      <c r="FN571" s="46"/>
      <c r="FO571" s="46"/>
      <c r="FP571" s="46"/>
      <c r="FQ571" s="46"/>
      <c r="FR571" s="46"/>
      <c r="FS571" s="46"/>
      <c r="FT571" s="46"/>
      <c r="FU571" s="46"/>
      <c r="FV571" s="46"/>
      <c r="FW571" s="46"/>
      <c r="FX571" s="46"/>
      <c r="FY571" s="46"/>
      <c r="FZ571" s="46"/>
      <c r="GA571" s="46"/>
      <c r="GB571" s="46"/>
      <c r="GC571" s="46"/>
      <c r="GD571" s="46"/>
      <c r="GE571" s="46"/>
      <c r="GF571" s="46"/>
    </row>
  </sheetData>
  <autoFilter ref="A1:GF391"/>
  <conditionalFormatting sqref="B2">
    <cfRule type="duplicateValues" dxfId="14" priority="1"/>
  </conditionalFormatting>
  <conditionalFormatting sqref="B317">
    <cfRule type="duplicateValues" dxfId="13" priority="6"/>
  </conditionalFormatting>
  <conditionalFormatting sqref="B318:B338">
    <cfRule type="duplicateValues" dxfId="12" priority="8"/>
  </conditionalFormatting>
  <conditionalFormatting sqref="B339">
    <cfRule type="duplicateValues" dxfId="11" priority="4"/>
  </conditionalFormatting>
  <conditionalFormatting sqref="B343:B388 B340:B341">
    <cfRule type="duplicateValues" dxfId="10" priority="188"/>
  </conditionalFormatting>
  <conditionalFormatting sqref="B389:B391">
    <cfRule type="duplicateValues" dxfId="9" priority="2"/>
  </conditionalFormatting>
  <conditionalFormatting sqref="B392:B1048576 B3:B316">
    <cfRule type="duplicateValues" dxfId="8" priority="9"/>
  </conditionalFormatting>
  <conditionalFormatting sqref="C317">
    <cfRule type="duplicateValues" dxfId="7" priority="5"/>
  </conditionalFormatting>
  <conditionalFormatting sqref="C339">
    <cfRule type="duplicateValues" dxfId="6" priority="3"/>
  </conditionalFormatting>
  <printOptions horizontalCentered="1"/>
  <pageMargins left="0" right="0" top="0.19685039370078741" bottom="0.19685039370078741" header="0.31496062992125984" footer="0.31496062992125984"/>
  <pageSetup paperSize="9" scale="85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0"/>
  <sheetViews>
    <sheetView topLeftCell="A165" workbookViewId="0">
      <selection activeCell="N126" sqref="N126"/>
    </sheetView>
  </sheetViews>
  <sheetFormatPr defaultColWidth="9.140625" defaultRowHeight="12.75"/>
  <cols>
    <col min="1" max="2" width="3.42578125" style="567" customWidth="1"/>
    <col min="3" max="4" width="2.7109375" style="567" customWidth="1"/>
    <col min="5" max="5" width="3.42578125" style="567" customWidth="1"/>
    <col min="6" max="6" width="40.7109375" style="414" customWidth="1"/>
    <col min="7" max="7" width="13.140625" style="452" bestFit="1" customWidth="1"/>
    <col min="8" max="8" width="12.85546875" style="452" bestFit="1" customWidth="1"/>
    <col min="9" max="9" width="13" style="563" customWidth="1"/>
    <col min="10" max="10" width="13" style="563" bestFit="1" customWidth="1"/>
    <col min="11" max="11" width="12" style="564" bestFit="1" customWidth="1"/>
    <col min="12" max="12" width="9.42578125" style="565" bestFit="1" customWidth="1"/>
    <col min="13" max="13" width="13.42578125" style="414" bestFit="1" customWidth="1"/>
    <col min="14" max="14" width="13.85546875" style="414" bestFit="1" customWidth="1"/>
    <col min="15" max="16" width="9.140625" style="414"/>
    <col min="17" max="17" width="12.7109375" style="414" bestFit="1" customWidth="1"/>
    <col min="18" max="18" width="9.140625" style="414"/>
    <col min="19" max="19" width="10.85546875" style="414" bestFit="1" customWidth="1"/>
    <col min="20" max="16384" width="9.140625" style="414"/>
  </cols>
  <sheetData>
    <row r="1" spans="1:20" ht="32.25" customHeight="1" thickBot="1">
      <c r="A1" s="838" t="s">
        <v>2662</v>
      </c>
      <c r="B1" s="839"/>
      <c r="C1" s="839"/>
      <c r="D1" s="839"/>
      <c r="E1" s="839"/>
      <c r="F1" s="839"/>
      <c r="G1" s="839"/>
      <c r="H1" s="839"/>
      <c r="I1" s="839"/>
      <c r="J1" s="839"/>
      <c r="K1" s="840" t="s">
        <v>2663</v>
      </c>
      <c r="L1" s="841"/>
    </row>
    <row r="2" spans="1:20" ht="7.5" customHeight="1" thickBot="1">
      <c r="A2" s="415"/>
      <c r="B2" s="415"/>
      <c r="C2" s="415"/>
      <c r="D2" s="415"/>
      <c r="E2" s="415"/>
      <c r="F2" s="416"/>
      <c r="G2" s="417"/>
      <c r="H2" s="417"/>
      <c r="I2" s="418"/>
      <c r="J2" s="419"/>
      <c r="K2" s="420"/>
      <c r="L2" s="421"/>
    </row>
    <row r="3" spans="1:20" ht="13.15" customHeight="1">
      <c r="A3" s="842" t="s">
        <v>1823</v>
      </c>
      <c r="B3" s="843"/>
      <c r="C3" s="843"/>
      <c r="D3" s="843"/>
      <c r="E3" s="843"/>
      <c r="F3" s="843"/>
      <c r="G3" s="843"/>
      <c r="H3" s="843"/>
      <c r="I3" s="847" t="s">
        <v>3896</v>
      </c>
      <c r="J3" s="847" t="s">
        <v>2664</v>
      </c>
      <c r="K3" s="849" t="s">
        <v>3897</v>
      </c>
      <c r="L3" s="850"/>
    </row>
    <row r="4" spans="1:20" ht="39.75" customHeight="1">
      <c r="A4" s="844"/>
      <c r="B4" s="845"/>
      <c r="C4" s="845"/>
      <c r="D4" s="845"/>
      <c r="E4" s="845"/>
      <c r="F4" s="845"/>
      <c r="G4" s="846"/>
      <c r="H4" s="845"/>
      <c r="I4" s="848"/>
      <c r="J4" s="848"/>
      <c r="K4" s="422" t="s">
        <v>2</v>
      </c>
      <c r="L4" s="423" t="s">
        <v>3</v>
      </c>
    </row>
    <row r="5" spans="1:20">
      <c r="A5" s="424"/>
      <c r="B5" s="425"/>
      <c r="C5" s="425"/>
      <c r="D5" s="425"/>
      <c r="E5" s="425"/>
      <c r="F5" s="426"/>
      <c r="G5" s="427"/>
      <c r="H5" s="428"/>
      <c r="I5" s="429"/>
      <c r="J5" s="429"/>
      <c r="K5" s="430"/>
      <c r="L5" s="431"/>
    </row>
    <row r="6" spans="1:20" s="441" customFormat="1" ht="11.25">
      <c r="A6" s="432" t="s">
        <v>4</v>
      </c>
      <c r="B6" s="433" t="s">
        <v>2665</v>
      </c>
      <c r="C6" s="434"/>
      <c r="D6" s="434"/>
      <c r="E6" s="434"/>
      <c r="F6" s="435"/>
      <c r="G6" s="436"/>
      <c r="H6" s="436"/>
      <c r="I6" s="437"/>
      <c r="J6" s="438"/>
      <c r="K6" s="439"/>
      <c r="L6" s="440"/>
    </row>
    <row r="7" spans="1:20" s="441" customFormat="1" ht="11.25">
      <c r="A7" s="442"/>
      <c r="B7" s="434" t="s">
        <v>2666</v>
      </c>
      <c r="C7" s="443" t="s">
        <v>2667</v>
      </c>
      <c r="D7" s="434"/>
      <c r="E7" s="434"/>
      <c r="F7" s="435"/>
      <c r="G7" s="436"/>
      <c r="H7" s="436"/>
      <c r="I7" s="444">
        <f>SUM(I8:I12)</f>
        <v>2340</v>
      </c>
      <c r="J7" s="444">
        <v>6068</v>
      </c>
      <c r="K7" s="445">
        <f>+I7-J7</f>
        <v>-3728</v>
      </c>
      <c r="L7" s="150">
        <f>IF(J7=0,"-    ",K7/J7)</f>
        <v>-0.61437046802900463</v>
      </c>
      <c r="M7" s="446"/>
    </row>
    <row r="8" spans="1:20" s="452" customFormat="1" ht="11.25">
      <c r="A8" s="432"/>
      <c r="B8" s="434"/>
      <c r="C8" s="447" t="s">
        <v>86</v>
      </c>
      <c r="D8" s="157" t="s">
        <v>2668</v>
      </c>
      <c r="E8" s="434"/>
      <c r="F8" s="448"/>
      <c r="G8" s="449"/>
      <c r="H8" s="449"/>
      <c r="I8" s="450">
        <f>ROUND(+'SP Min'!D32-'SP Min'!D54,0)</f>
        <v>0</v>
      </c>
      <c r="J8" s="450">
        <v>0</v>
      </c>
      <c r="K8" s="445">
        <f t="shared" ref="K8:K37" si="0">+I8-J8</f>
        <v>0</v>
      </c>
      <c r="L8" s="451" t="str">
        <f t="shared" ref="L8:L36" si="1">IF(J8=0,"-    ",K8/J8)</f>
        <v xml:space="preserve">-    </v>
      </c>
      <c r="M8" s="446"/>
    </row>
    <row r="9" spans="1:20" s="452" customFormat="1" ht="11.25">
      <c r="A9" s="453"/>
      <c r="B9" s="434"/>
      <c r="C9" s="447" t="s">
        <v>88</v>
      </c>
      <c r="D9" s="157" t="s">
        <v>2669</v>
      </c>
      <c r="E9" s="434"/>
      <c r="F9" s="454"/>
      <c r="G9" s="449"/>
      <c r="H9" s="449"/>
      <c r="I9" s="455">
        <f>ROUND(+'SP Min'!D35-'SP Min'!D55,0)</f>
        <v>0</v>
      </c>
      <c r="J9" s="455">
        <v>0</v>
      </c>
      <c r="K9" s="445">
        <f t="shared" si="0"/>
        <v>0</v>
      </c>
      <c r="L9" s="451" t="str">
        <f t="shared" si="1"/>
        <v xml:space="preserve">-    </v>
      </c>
      <c r="M9" s="446"/>
    </row>
    <row r="10" spans="1:20" s="452" customFormat="1" ht="11.25">
      <c r="A10" s="453"/>
      <c r="B10" s="434"/>
      <c r="C10" s="447" t="s">
        <v>116</v>
      </c>
      <c r="D10" s="157" t="s">
        <v>2670</v>
      </c>
      <c r="E10" s="434"/>
      <c r="F10" s="454"/>
      <c r="G10" s="449"/>
      <c r="H10" s="449"/>
      <c r="I10" s="455">
        <f>ROUND(+'SP Min'!D38-'SP Min'!D56,0)</f>
        <v>0</v>
      </c>
      <c r="J10" s="455">
        <v>0</v>
      </c>
      <c r="K10" s="445">
        <f t="shared" si="0"/>
        <v>0</v>
      </c>
      <c r="L10" s="451" t="str">
        <f t="shared" si="1"/>
        <v xml:space="preserve">-    </v>
      </c>
      <c r="M10" s="446"/>
      <c r="Q10" s="456"/>
      <c r="R10" s="456"/>
      <c r="S10" s="456"/>
      <c r="T10" s="456"/>
    </row>
    <row r="11" spans="1:20" s="452" customFormat="1" ht="11.25">
      <c r="A11" s="453"/>
      <c r="B11" s="434"/>
      <c r="C11" s="447" t="s">
        <v>2671</v>
      </c>
      <c r="D11" s="157" t="s">
        <v>2672</v>
      </c>
      <c r="E11" s="434"/>
      <c r="F11" s="454"/>
      <c r="G11" s="449"/>
      <c r="H11" s="449"/>
      <c r="I11" s="455">
        <f>ROUND(+'SP Min'!D43,0)</f>
        <v>0</v>
      </c>
      <c r="J11" s="455">
        <v>0</v>
      </c>
      <c r="K11" s="445">
        <f t="shared" si="0"/>
        <v>0</v>
      </c>
      <c r="L11" s="451" t="str">
        <f t="shared" si="1"/>
        <v xml:space="preserve">-    </v>
      </c>
      <c r="M11" s="446"/>
      <c r="Q11" s="456"/>
      <c r="R11" s="456"/>
      <c r="S11" s="456"/>
      <c r="T11" s="456"/>
    </row>
    <row r="12" spans="1:20" s="452" customFormat="1" ht="11.25">
      <c r="A12" s="453"/>
      <c r="B12" s="434"/>
      <c r="C12" s="447" t="s">
        <v>2673</v>
      </c>
      <c r="D12" s="157" t="s">
        <v>2674</v>
      </c>
      <c r="E12" s="434"/>
      <c r="F12" s="454"/>
      <c r="G12" s="449"/>
      <c r="H12" s="449"/>
      <c r="I12" s="455">
        <f>ROUND(+'SP Min'!D44-'SP Min'!D57,0)</f>
        <v>2340</v>
      </c>
      <c r="J12" s="455">
        <v>6068</v>
      </c>
      <c r="K12" s="445">
        <f t="shared" si="0"/>
        <v>-3728</v>
      </c>
      <c r="L12" s="451">
        <f t="shared" si="1"/>
        <v>-0.61437046802900463</v>
      </c>
      <c r="M12" s="446"/>
      <c r="Q12" s="456"/>
      <c r="R12" s="456"/>
      <c r="S12" s="456"/>
      <c r="T12" s="456"/>
    </row>
    <row r="13" spans="1:20" s="441" customFormat="1" ht="11.25">
      <c r="A13" s="442"/>
      <c r="B13" s="434" t="s">
        <v>2675</v>
      </c>
      <c r="C13" s="457" t="s">
        <v>2676</v>
      </c>
      <c r="D13" s="434"/>
      <c r="E13" s="434"/>
      <c r="F13" s="435"/>
      <c r="G13" s="436"/>
      <c r="H13" s="436"/>
      <c r="I13" s="444">
        <f>I14+I17+SUM(I20:I26)</f>
        <v>441008</v>
      </c>
      <c r="J13" s="444">
        <v>415631</v>
      </c>
      <c r="K13" s="445">
        <f t="shared" si="0"/>
        <v>25377</v>
      </c>
      <c r="L13" s="440">
        <f t="shared" si="1"/>
        <v>6.1056562190981906E-2</v>
      </c>
      <c r="M13" s="446"/>
      <c r="Q13" s="458"/>
      <c r="R13" s="458"/>
      <c r="S13" s="458"/>
      <c r="T13" s="458"/>
    </row>
    <row r="14" spans="1:20" s="452" customFormat="1" ht="11.25">
      <c r="A14" s="432"/>
      <c r="B14" s="434"/>
      <c r="C14" s="447" t="s">
        <v>86</v>
      </c>
      <c r="D14" s="157" t="s">
        <v>2677</v>
      </c>
      <c r="E14" s="447"/>
      <c r="F14" s="459"/>
      <c r="G14" s="449"/>
      <c r="H14" s="449"/>
      <c r="I14" s="455">
        <f>SUM(I15:I16)</f>
        <v>0</v>
      </c>
      <c r="J14" s="455">
        <v>0</v>
      </c>
      <c r="K14" s="445">
        <f t="shared" si="0"/>
        <v>0</v>
      </c>
      <c r="L14" s="440" t="str">
        <f t="shared" si="1"/>
        <v xml:space="preserve">-    </v>
      </c>
      <c r="M14" s="446"/>
      <c r="Q14" s="456"/>
      <c r="R14" s="456"/>
      <c r="S14" s="456"/>
      <c r="T14" s="456"/>
    </row>
    <row r="15" spans="1:20" s="466" customFormat="1" ht="11.25">
      <c r="A15" s="460"/>
      <c r="B15" s="461"/>
      <c r="C15" s="462"/>
      <c r="D15" s="462" t="s">
        <v>2678</v>
      </c>
      <c r="E15" s="463" t="s">
        <v>2679</v>
      </c>
      <c r="F15" s="464"/>
      <c r="G15" s="465"/>
      <c r="H15" s="465"/>
      <c r="I15" s="455">
        <f>ROUND(+'SP Min'!D60+'SP Att Alim'!F100,0)</f>
        <v>0</v>
      </c>
      <c r="J15" s="455">
        <v>0</v>
      </c>
      <c r="K15" s="445">
        <f t="shared" si="0"/>
        <v>0</v>
      </c>
      <c r="L15" s="440" t="str">
        <f t="shared" si="1"/>
        <v xml:space="preserve">-    </v>
      </c>
      <c r="M15" s="446"/>
      <c r="Q15" s="467"/>
      <c r="R15" s="467"/>
      <c r="S15" s="467"/>
      <c r="T15" s="467"/>
    </row>
    <row r="16" spans="1:20" s="466" customFormat="1" ht="11.25">
      <c r="A16" s="460"/>
      <c r="B16" s="461"/>
      <c r="C16" s="462"/>
      <c r="D16" s="462" t="s">
        <v>2680</v>
      </c>
      <c r="E16" s="468" t="s">
        <v>2681</v>
      </c>
      <c r="F16" s="459"/>
      <c r="G16" s="465"/>
      <c r="H16" s="465"/>
      <c r="I16" s="455">
        <f>ROUND(+'SP Min'!D61+'SP Att Alim'!F104,0)</f>
        <v>0</v>
      </c>
      <c r="J16" s="455">
        <v>0</v>
      </c>
      <c r="K16" s="445">
        <f t="shared" si="0"/>
        <v>0</v>
      </c>
      <c r="L16" s="440" t="str">
        <f t="shared" si="1"/>
        <v xml:space="preserve">-    </v>
      </c>
      <c r="M16" s="446"/>
      <c r="Q16" s="467"/>
      <c r="R16" s="467"/>
      <c r="S16" s="467"/>
      <c r="T16" s="467"/>
    </row>
    <row r="17" spans="1:20" s="452" customFormat="1" ht="11.25">
      <c r="A17" s="432"/>
      <c r="B17" s="434"/>
      <c r="C17" s="447" t="s">
        <v>88</v>
      </c>
      <c r="D17" s="163" t="s">
        <v>2682</v>
      </c>
      <c r="E17" s="434"/>
      <c r="F17" s="454"/>
      <c r="G17" s="449"/>
      <c r="H17" s="449"/>
      <c r="I17" s="455">
        <f>SUM(I18:I19)</f>
        <v>0</v>
      </c>
      <c r="J17" s="455">
        <v>0</v>
      </c>
      <c r="K17" s="445">
        <f t="shared" si="0"/>
        <v>0</v>
      </c>
      <c r="L17" s="451" t="str">
        <f t="shared" si="1"/>
        <v xml:space="preserve">-    </v>
      </c>
      <c r="M17" s="446"/>
      <c r="Q17" s="456"/>
      <c r="R17" s="456"/>
      <c r="S17" s="456"/>
      <c r="T17" s="456"/>
    </row>
    <row r="18" spans="1:20" s="452" customFormat="1" ht="11.25">
      <c r="A18" s="432"/>
      <c r="B18" s="434"/>
      <c r="C18" s="447"/>
      <c r="D18" s="462" t="s">
        <v>2678</v>
      </c>
      <c r="E18" s="463" t="s">
        <v>2683</v>
      </c>
      <c r="F18" s="459"/>
      <c r="G18" s="449"/>
      <c r="H18" s="449"/>
      <c r="I18" s="455">
        <f>ROUND('SP Min'!D63+'SP Att Alim'!F103,0)</f>
        <v>0</v>
      </c>
      <c r="J18" s="455">
        <v>0</v>
      </c>
      <c r="K18" s="445">
        <f t="shared" si="0"/>
        <v>0</v>
      </c>
      <c r="L18" s="451" t="str">
        <f t="shared" si="1"/>
        <v xml:space="preserve">-    </v>
      </c>
      <c r="M18" s="446"/>
      <c r="Q18" s="456"/>
      <c r="R18" s="456"/>
      <c r="S18" s="456"/>
      <c r="T18" s="456"/>
    </row>
    <row r="19" spans="1:20" s="452" customFormat="1" ht="11.25">
      <c r="A19" s="432"/>
      <c r="B19" s="434"/>
      <c r="C19" s="447"/>
      <c r="D19" s="462" t="s">
        <v>2680</v>
      </c>
      <c r="E19" s="463" t="s">
        <v>2684</v>
      </c>
      <c r="F19" s="157"/>
      <c r="G19" s="449"/>
      <c r="H19" s="449"/>
      <c r="I19" s="455">
        <f>+ROUND('SP Min'!D66+'SP Att Alim'!F101,0)</f>
        <v>0</v>
      </c>
      <c r="J19" s="455">
        <v>0</v>
      </c>
      <c r="K19" s="445">
        <f t="shared" si="0"/>
        <v>0</v>
      </c>
      <c r="L19" s="451" t="str">
        <f t="shared" si="1"/>
        <v xml:space="preserve">-    </v>
      </c>
      <c r="M19" s="446"/>
      <c r="Q19" s="456"/>
      <c r="R19" s="456"/>
      <c r="S19" s="456"/>
      <c r="T19" s="456"/>
    </row>
    <row r="20" spans="1:20" s="452" customFormat="1" ht="11.25">
      <c r="A20" s="432"/>
      <c r="B20" s="434"/>
      <c r="C20" s="447" t="s">
        <v>116</v>
      </c>
      <c r="D20" s="163" t="s">
        <v>2685</v>
      </c>
      <c r="E20" s="434"/>
      <c r="F20" s="157"/>
      <c r="G20" s="449"/>
      <c r="H20" s="449"/>
      <c r="I20" s="455">
        <f>+ROUND('SP Min'!D69+'SP Att Alim'!F106,0)</f>
        <v>80062</v>
      </c>
      <c r="J20" s="455">
        <v>102937</v>
      </c>
      <c r="K20" s="445">
        <f t="shared" si="0"/>
        <v>-22875</v>
      </c>
      <c r="L20" s="451">
        <f t="shared" si="1"/>
        <v>-0.22222330163109474</v>
      </c>
      <c r="M20" s="446"/>
      <c r="Q20" s="456"/>
      <c r="R20" s="456"/>
      <c r="S20" s="456"/>
      <c r="T20" s="456"/>
    </row>
    <row r="21" spans="1:20" s="452" customFormat="1" ht="11.25">
      <c r="A21" s="432"/>
      <c r="B21" s="434"/>
      <c r="C21" s="447" t="s">
        <v>2671</v>
      </c>
      <c r="D21" s="469" t="s">
        <v>2686</v>
      </c>
      <c r="E21" s="434"/>
      <c r="F21" s="454"/>
      <c r="G21" s="449"/>
      <c r="H21" s="449"/>
      <c r="I21" s="455">
        <f>+ROUND('SP Min'!D72+'SP Att Alim'!F108,0)</f>
        <v>20789</v>
      </c>
      <c r="J21" s="455">
        <v>44457</v>
      </c>
      <c r="K21" s="445">
        <f t="shared" si="0"/>
        <v>-23668</v>
      </c>
      <c r="L21" s="451">
        <f t="shared" si="1"/>
        <v>-0.53237960276221963</v>
      </c>
      <c r="M21" s="446"/>
      <c r="Q21" s="456"/>
      <c r="R21" s="456"/>
      <c r="S21" s="456"/>
      <c r="T21" s="456"/>
    </row>
    <row r="22" spans="1:20" s="452" customFormat="1" ht="11.25">
      <c r="A22" s="432"/>
      <c r="B22" s="434"/>
      <c r="C22" s="447" t="s">
        <v>2673</v>
      </c>
      <c r="D22" s="163" t="s">
        <v>2687</v>
      </c>
      <c r="E22" s="434"/>
      <c r="F22" s="448"/>
      <c r="G22" s="449"/>
      <c r="H22" s="449"/>
      <c r="I22" s="455">
        <f>+ROUND('SP Min'!D75+'SP Att Alim'!F110,0)</f>
        <v>83577</v>
      </c>
      <c r="J22" s="455">
        <v>102947</v>
      </c>
      <c r="K22" s="445">
        <f t="shared" si="0"/>
        <v>-19370</v>
      </c>
      <c r="L22" s="451">
        <f t="shared" si="1"/>
        <v>-0.18815507008460663</v>
      </c>
      <c r="M22" s="446"/>
      <c r="Q22" s="456"/>
      <c r="R22" s="456"/>
      <c r="S22" s="456"/>
      <c r="T22" s="456"/>
    </row>
    <row r="23" spans="1:20" s="452" customFormat="1" ht="11.25">
      <c r="A23" s="432"/>
      <c r="B23" s="434"/>
      <c r="C23" s="447" t="s">
        <v>2688</v>
      </c>
      <c r="D23" s="163" t="s">
        <v>2689</v>
      </c>
      <c r="E23" s="434"/>
      <c r="F23" s="157"/>
      <c r="G23" s="449"/>
      <c r="H23" s="449"/>
      <c r="I23" s="455">
        <f>+ROUND('SP Min'!D78+'SP Att Alim'!F112,0)</f>
        <v>0</v>
      </c>
      <c r="J23" s="455">
        <v>1007</v>
      </c>
      <c r="K23" s="445">
        <f t="shared" si="0"/>
        <v>-1007</v>
      </c>
      <c r="L23" s="451">
        <f t="shared" si="1"/>
        <v>-1</v>
      </c>
      <c r="M23" s="446"/>
      <c r="Q23" s="456"/>
      <c r="R23" s="456"/>
      <c r="S23" s="456"/>
      <c r="T23" s="456"/>
    </row>
    <row r="24" spans="1:20" s="452" customFormat="1" ht="11.25">
      <c r="A24" s="432"/>
      <c r="B24" s="434"/>
      <c r="C24" s="447" t="s">
        <v>2690</v>
      </c>
      <c r="D24" s="163" t="s">
        <v>2691</v>
      </c>
      <c r="E24" s="434"/>
      <c r="F24" s="157"/>
      <c r="G24" s="449"/>
      <c r="H24" s="449"/>
      <c r="I24" s="455">
        <f>+ROUND('SP Min'!D81+'SP Att Alim'!F114,0)</f>
        <v>0</v>
      </c>
      <c r="J24" s="455">
        <v>0</v>
      </c>
      <c r="K24" s="445">
        <f t="shared" si="0"/>
        <v>0</v>
      </c>
      <c r="L24" s="451" t="str">
        <f t="shared" si="1"/>
        <v xml:space="preserve">-    </v>
      </c>
      <c r="M24" s="446"/>
      <c r="Q24" s="456"/>
      <c r="R24" s="456"/>
      <c r="S24" s="456"/>
      <c r="T24" s="456"/>
    </row>
    <row r="25" spans="1:20" s="452" customFormat="1" ht="11.25">
      <c r="A25" s="432"/>
      <c r="B25" s="434"/>
      <c r="C25" s="447" t="s">
        <v>2692</v>
      </c>
      <c r="D25" s="157" t="s">
        <v>2693</v>
      </c>
      <c r="E25" s="434"/>
      <c r="F25" s="454"/>
      <c r="G25" s="449"/>
      <c r="H25" s="449"/>
      <c r="I25" s="455">
        <f>+ROUND('SP Min'!D82+'SP Att Alim'!F116,0)</f>
        <v>256580</v>
      </c>
      <c r="J25" s="455">
        <v>164283</v>
      </c>
      <c r="K25" s="445">
        <f t="shared" si="0"/>
        <v>92297</v>
      </c>
      <c r="L25" s="451">
        <f t="shared" si="1"/>
        <v>0.56181710828265863</v>
      </c>
      <c r="M25" s="446"/>
      <c r="Q25" s="456"/>
      <c r="R25" s="456"/>
      <c r="S25" s="456"/>
      <c r="T25" s="456"/>
    </row>
    <row r="26" spans="1:20" s="452" customFormat="1" ht="11.25">
      <c r="A26" s="432"/>
      <c r="B26" s="434"/>
      <c r="C26" s="447" t="s">
        <v>2694</v>
      </c>
      <c r="D26" s="157" t="s">
        <v>2695</v>
      </c>
      <c r="E26" s="434"/>
      <c r="F26" s="448"/>
      <c r="G26" s="449"/>
      <c r="H26" s="449"/>
      <c r="I26" s="455">
        <f>+ROUND('SP Min'!D85,0)</f>
        <v>0</v>
      </c>
      <c r="J26" s="455">
        <v>0</v>
      </c>
      <c r="K26" s="445">
        <f t="shared" si="0"/>
        <v>0</v>
      </c>
      <c r="L26" s="451" t="str">
        <f t="shared" si="1"/>
        <v xml:space="preserve">-    </v>
      </c>
      <c r="M26" s="446"/>
      <c r="Q26" s="456"/>
      <c r="R26" s="456"/>
      <c r="S26" s="456"/>
      <c r="T26" s="456"/>
    </row>
    <row r="27" spans="1:20" s="452" customFormat="1" ht="11.25">
      <c r="A27" s="432"/>
      <c r="B27" s="434"/>
      <c r="C27" s="447"/>
      <c r="D27" s="434"/>
      <c r="E27" s="434"/>
      <c r="F27" s="163"/>
      <c r="G27" s="470" t="s">
        <v>2696</v>
      </c>
      <c r="H27" s="470" t="s">
        <v>2697</v>
      </c>
      <c r="I27" s="455"/>
      <c r="J27" s="455"/>
      <c r="K27" s="445">
        <f t="shared" si="0"/>
        <v>0</v>
      </c>
      <c r="L27" s="451" t="str">
        <f t="shared" si="1"/>
        <v xml:space="preserve">-    </v>
      </c>
      <c r="M27" s="446"/>
      <c r="Q27" s="456"/>
      <c r="R27" s="456"/>
      <c r="S27" s="456"/>
      <c r="T27" s="456"/>
    </row>
    <row r="28" spans="1:20" s="441" customFormat="1" ht="40.5" customHeight="1">
      <c r="A28" s="442"/>
      <c r="B28" s="434" t="s">
        <v>2698</v>
      </c>
      <c r="C28" s="851" t="s">
        <v>2699</v>
      </c>
      <c r="D28" s="851"/>
      <c r="E28" s="851"/>
      <c r="F28" s="852"/>
      <c r="G28" s="444">
        <f t="shared" ref="G28:H28" si="2">G29+G34</f>
        <v>0</v>
      </c>
      <c r="H28" s="444">
        <f t="shared" si="2"/>
        <v>0</v>
      </c>
      <c r="I28" s="444">
        <f>I29+I34</f>
        <v>0</v>
      </c>
      <c r="J28" s="444">
        <v>0</v>
      </c>
      <c r="K28" s="445">
        <f t="shared" si="0"/>
        <v>0</v>
      </c>
      <c r="L28" s="440" t="str">
        <f t="shared" si="1"/>
        <v xml:space="preserve">-    </v>
      </c>
      <c r="M28" s="446"/>
      <c r="Q28" s="458"/>
      <c r="R28" s="458"/>
      <c r="S28" s="458"/>
      <c r="T28" s="458"/>
    </row>
    <row r="29" spans="1:20" s="452" customFormat="1" ht="11.25">
      <c r="A29" s="453"/>
      <c r="B29" s="434"/>
      <c r="C29" s="447" t="s">
        <v>86</v>
      </c>
      <c r="D29" s="471" t="s">
        <v>2700</v>
      </c>
      <c r="E29" s="454"/>
      <c r="F29" s="454"/>
      <c r="G29" s="455">
        <f t="shared" ref="G29:H29" si="3">SUM(G30:G33)</f>
        <v>0</v>
      </c>
      <c r="H29" s="455">
        <f t="shared" si="3"/>
        <v>0</v>
      </c>
      <c r="I29" s="455">
        <f>SUM(I30:I33)</f>
        <v>0</v>
      </c>
      <c r="J29" s="455">
        <v>0</v>
      </c>
      <c r="K29" s="445">
        <f t="shared" si="0"/>
        <v>0</v>
      </c>
      <c r="L29" s="451" t="str">
        <f t="shared" si="1"/>
        <v xml:space="preserve">-    </v>
      </c>
      <c r="M29" s="446"/>
      <c r="Q29" s="456"/>
      <c r="R29" s="456"/>
      <c r="S29" s="456"/>
      <c r="T29" s="456"/>
    </row>
    <row r="30" spans="1:20" s="452" customFormat="1" ht="11.25">
      <c r="A30" s="432"/>
      <c r="B30" s="434"/>
      <c r="C30" s="434"/>
      <c r="D30" s="462" t="s">
        <v>2678</v>
      </c>
      <c r="E30" s="459" t="s">
        <v>2701</v>
      </c>
      <c r="F30" s="448"/>
      <c r="G30" s="472"/>
      <c r="H30" s="472"/>
      <c r="I30" s="455">
        <f>+ROUND('SP Min'!D97,0)</f>
        <v>0</v>
      </c>
      <c r="J30" s="455">
        <v>0</v>
      </c>
      <c r="K30" s="445">
        <f t="shared" si="0"/>
        <v>0</v>
      </c>
      <c r="L30" s="451" t="str">
        <f t="shared" si="1"/>
        <v xml:space="preserve">-    </v>
      </c>
      <c r="M30" s="446"/>
      <c r="Q30" s="456"/>
      <c r="R30" s="456"/>
      <c r="S30" s="456"/>
      <c r="T30" s="456"/>
    </row>
    <row r="31" spans="1:20" s="452" customFormat="1" ht="11.25">
      <c r="A31" s="432"/>
      <c r="B31" s="434"/>
      <c r="C31" s="434"/>
      <c r="D31" s="462" t="s">
        <v>2680</v>
      </c>
      <c r="E31" s="459" t="s">
        <v>2702</v>
      </c>
      <c r="F31" s="459"/>
      <c r="G31" s="472"/>
      <c r="H31" s="472"/>
      <c r="I31" s="455">
        <f>+ROUND('SP Min'!D98,0)</f>
        <v>0</v>
      </c>
      <c r="J31" s="455">
        <v>0</v>
      </c>
      <c r="K31" s="445">
        <f t="shared" si="0"/>
        <v>0</v>
      </c>
      <c r="L31" s="451" t="str">
        <f t="shared" si="1"/>
        <v xml:space="preserve">-    </v>
      </c>
      <c r="M31" s="446"/>
      <c r="Q31" s="456"/>
      <c r="R31" s="456"/>
      <c r="S31" s="456"/>
      <c r="T31" s="456"/>
    </row>
    <row r="32" spans="1:20" s="452" customFormat="1" ht="11.25">
      <c r="A32" s="432"/>
      <c r="B32" s="434"/>
      <c r="C32" s="447"/>
      <c r="D32" s="462" t="s">
        <v>2703</v>
      </c>
      <c r="E32" s="473" t="s">
        <v>2704</v>
      </c>
      <c r="F32" s="448"/>
      <c r="G32" s="472"/>
      <c r="H32" s="472"/>
      <c r="I32" s="455">
        <f>+ROUND('SP Min'!D99,0)</f>
        <v>0</v>
      </c>
      <c r="J32" s="455">
        <v>0</v>
      </c>
      <c r="K32" s="445">
        <f t="shared" si="0"/>
        <v>0</v>
      </c>
      <c r="L32" s="451" t="str">
        <f t="shared" si="1"/>
        <v xml:space="preserve">-    </v>
      </c>
      <c r="M32" s="446"/>
      <c r="Q32" s="456"/>
      <c r="R32" s="456"/>
      <c r="S32" s="456"/>
      <c r="T32" s="456"/>
    </row>
    <row r="33" spans="1:20" s="452" customFormat="1" ht="11.25">
      <c r="A33" s="432"/>
      <c r="B33" s="434"/>
      <c r="C33" s="447"/>
      <c r="D33" s="462" t="s">
        <v>2705</v>
      </c>
      <c r="E33" s="473" t="s">
        <v>2706</v>
      </c>
      <c r="F33" s="471"/>
      <c r="G33" s="472"/>
      <c r="H33" s="474"/>
      <c r="I33" s="455">
        <f>+ROUND('SP Min'!D100,0)</f>
        <v>0</v>
      </c>
      <c r="J33" s="455">
        <v>0</v>
      </c>
      <c r="K33" s="445">
        <f t="shared" si="0"/>
        <v>0</v>
      </c>
      <c r="L33" s="451" t="str">
        <f t="shared" si="1"/>
        <v xml:space="preserve">-    </v>
      </c>
      <c r="M33" s="446"/>
      <c r="Q33" s="456"/>
      <c r="R33" s="456"/>
      <c r="S33" s="456"/>
      <c r="T33" s="456"/>
    </row>
    <row r="34" spans="1:20" s="452" customFormat="1" ht="11.25">
      <c r="A34" s="432"/>
      <c r="B34" s="434"/>
      <c r="C34" s="447" t="s">
        <v>88</v>
      </c>
      <c r="D34" s="163" t="s">
        <v>2707</v>
      </c>
      <c r="E34" s="447"/>
      <c r="F34" s="471"/>
      <c r="G34" s="475"/>
      <c r="H34" s="449"/>
      <c r="I34" s="455">
        <f>SUM(I35:I36)</f>
        <v>0</v>
      </c>
      <c r="J34" s="455">
        <v>0</v>
      </c>
      <c r="K34" s="445">
        <f t="shared" si="0"/>
        <v>0</v>
      </c>
      <c r="L34" s="451" t="str">
        <f t="shared" si="1"/>
        <v xml:space="preserve">-    </v>
      </c>
      <c r="M34" s="446"/>
      <c r="Q34" s="456"/>
      <c r="R34" s="456"/>
      <c r="S34" s="456"/>
      <c r="T34" s="456"/>
    </row>
    <row r="35" spans="1:20" s="452" customFormat="1" ht="11.25">
      <c r="A35" s="432"/>
      <c r="B35" s="434"/>
      <c r="C35" s="447"/>
      <c r="D35" s="462" t="s">
        <v>2678</v>
      </c>
      <c r="E35" s="463" t="s">
        <v>2708</v>
      </c>
      <c r="F35" s="454"/>
      <c r="G35" s="449"/>
      <c r="H35" s="449"/>
      <c r="I35" s="455">
        <f>+ROUND('SP Min'!D102,0)</f>
        <v>0</v>
      </c>
      <c r="J35" s="455">
        <v>0</v>
      </c>
      <c r="K35" s="445">
        <f t="shared" si="0"/>
        <v>0</v>
      </c>
      <c r="L35" s="451" t="str">
        <f t="shared" si="1"/>
        <v xml:space="preserve">-    </v>
      </c>
      <c r="M35" s="446"/>
      <c r="Q35" s="456"/>
      <c r="R35" s="456"/>
      <c r="S35" s="456"/>
      <c r="T35" s="456"/>
    </row>
    <row r="36" spans="1:20" s="452" customFormat="1" ht="11.25">
      <c r="A36" s="432"/>
      <c r="B36" s="434"/>
      <c r="C36" s="447"/>
      <c r="D36" s="462" t="s">
        <v>2680</v>
      </c>
      <c r="E36" s="463" t="s">
        <v>2709</v>
      </c>
      <c r="F36" s="157"/>
      <c r="G36" s="476"/>
      <c r="H36" s="449"/>
      <c r="I36" s="474">
        <f>+ROUND('SP Min'!D103,0)</f>
        <v>0</v>
      </c>
      <c r="J36" s="474">
        <f>+ROUND('SP Min'!E103,0)</f>
        <v>0</v>
      </c>
      <c r="K36" s="445">
        <f t="shared" si="0"/>
        <v>0</v>
      </c>
      <c r="L36" s="451" t="str">
        <f t="shared" si="1"/>
        <v xml:space="preserve">-    </v>
      </c>
      <c r="M36" s="446"/>
      <c r="Q36" s="456"/>
      <c r="R36" s="456"/>
      <c r="S36" s="456"/>
      <c r="T36" s="456"/>
    </row>
    <row r="37" spans="1:20" s="441" customFormat="1" ht="11.25">
      <c r="A37" s="853" t="s">
        <v>2710</v>
      </c>
      <c r="B37" s="854"/>
      <c r="C37" s="854"/>
      <c r="D37" s="854"/>
      <c r="E37" s="854"/>
      <c r="F37" s="854"/>
      <c r="G37" s="855"/>
      <c r="H37" s="854"/>
      <c r="I37" s="477">
        <f>I7+I13+I28</f>
        <v>443348</v>
      </c>
      <c r="J37" s="478">
        <f>J7+J13+J28</f>
        <v>421699</v>
      </c>
      <c r="K37" s="479">
        <f t="shared" si="0"/>
        <v>21649</v>
      </c>
      <c r="L37" s="141">
        <f>IF(J37=0,"-    ",K37/J37)</f>
        <v>5.1337565419884802E-2</v>
      </c>
      <c r="M37" s="446"/>
      <c r="Q37" s="458"/>
      <c r="R37" s="458"/>
      <c r="S37" s="458"/>
      <c r="T37" s="458"/>
    </row>
    <row r="38" spans="1:20" s="441" customFormat="1" ht="11.25">
      <c r="A38" s="432"/>
      <c r="B38" s="434"/>
      <c r="C38" s="434"/>
      <c r="D38" s="434"/>
      <c r="E38" s="434"/>
      <c r="F38" s="443"/>
      <c r="G38" s="436"/>
      <c r="H38" s="436"/>
      <c r="I38" s="480"/>
      <c r="J38" s="480"/>
      <c r="K38" s="481"/>
      <c r="L38" s="482"/>
      <c r="M38" s="446"/>
      <c r="Q38" s="458"/>
      <c r="R38" s="458"/>
      <c r="S38" s="458"/>
      <c r="T38" s="458"/>
    </row>
    <row r="39" spans="1:20" s="441" customFormat="1" ht="11.25">
      <c r="A39" s="483" t="s">
        <v>33</v>
      </c>
      <c r="B39" s="484" t="s">
        <v>2711</v>
      </c>
      <c r="C39" s="485"/>
      <c r="D39" s="485"/>
      <c r="E39" s="485"/>
      <c r="F39" s="435"/>
      <c r="G39" s="436"/>
      <c r="H39" s="436"/>
      <c r="I39" s="444"/>
      <c r="J39" s="438"/>
      <c r="K39" s="439"/>
      <c r="L39" s="440"/>
      <c r="M39" s="446"/>
      <c r="Q39" s="458"/>
      <c r="R39" s="458"/>
      <c r="S39" s="458"/>
      <c r="T39" s="458"/>
    </row>
    <row r="40" spans="1:20" s="441" customFormat="1" ht="11.25">
      <c r="A40" s="483"/>
      <c r="B40" s="485" t="s">
        <v>2666</v>
      </c>
      <c r="C40" s="486" t="s">
        <v>2712</v>
      </c>
      <c r="D40" s="485"/>
      <c r="E40" s="485"/>
      <c r="F40" s="443"/>
      <c r="G40" s="436"/>
      <c r="H40" s="436"/>
      <c r="I40" s="444">
        <f>SUM(I41:I44)</f>
        <v>65979148</v>
      </c>
      <c r="J40" s="444">
        <f>SUM(J41:J44)</f>
        <v>65966509</v>
      </c>
      <c r="K40" s="445">
        <f>+I40-J40</f>
        <v>12639</v>
      </c>
      <c r="L40" s="440">
        <f t="shared" ref="L40:L98" si="4">IF(J40=0,"-    ",K40/J40)</f>
        <v>1.915972239792165E-4</v>
      </c>
      <c r="M40" s="446"/>
      <c r="Q40" s="458"/>
      <c r="R40" s="458"/>
      <c r="S40" s="458"/>
      <c r="T40" s="458"/>
    </row>
    <row r="41" spans="1:20" s="452" customFormat="1" ht="11.25">
      <c r="A41" s="483"/>
      <c r="B41" s="485"/>
      <c r="C41" s="487" t="s">
        <v>86</v>
      </c>
      <c r="D41" s="487" t="s">
        <v>2713</v>
      </c>
      <c r="E41" s="485"/>
      <c r="F41" s="454"/>
      <c r="G41" s="449"/>
      <c r="H41" s="449"/>
      <c r="I41" s="455">
        <f>+ROUND('SP Min'!D110-'SP Min'!D119,0)</f>
        <v>64781030</v>
      </c>
      <c r="J41" s="455">
        <v>64595306</v>
      </c>
      <c r="K41" s="445">
        <f t="shared" ref="K41:K90" si="5">+I41-J41</f>
        <v>185724</v>
      </c>
      <c r="L41" s="451">
        <f t="shared" si="4"/>
        <v>2.8751934389783678E-3</v>
      </c>
      <c r="M41" s="446"/>
      <c r="Q41" s="456"/>
      <c r="R41" s="456"/>
      <c r="S41" s="456"/>
      <c r="T41" s="456"/>
    </row>
    <row r="42" spans="1:20" s="452" customFormat="1" ht="11.25">
      <c r="A42" s="483"/>
      <c r="B42" s="485"/>
      <c r="C42" s="487" t="s">
        <v>88</v>
      </c>
      <c r="D42" s="487" t="s">
        <v>2714</v>
      </c>
      <c r="E42" s="485"/>
      <c r="F42" s="157"/>
      <c r="G42" s="449"/>
      <c r="H42" s="449"/>
      <c r="I42" s="455">
        <f>+ROUND('SP Min'!D120-'SP Min'!D127,0)</f>
        <v>1198118</v>
      </c>
      <c r="J42" s="455">
        <v>1371203</v>
      </c>
      <c r="K42" s="445">
        <f t="shared" si="5"/>
        <v>-173085</v>
      </c>
      <c r="L42" s="451">
        <f t="shared" si="4"/>
        <v>-0.12622857447073846</v>
      </c>
      <c r="M42" s="446"/>
      <c r="Q42" s="456"/>
      <c r="R42" s="456"/>
      <c r="S42" s="456"/>
      <c r="T42" s="456"/>
    </row>
    <row r="43" spans="1:20" s="452" customFormat="1" ht="11.25">
      <c r="A43" s="483"/>
      <c r="B43" s="485"/>
      <c r="C43" s="487" t="s">
        <v>116</v>
      </c>
      <c r="D43" s="487" t="s">
        <v>2715</v>
      </c>
      <c r="E43" s="485"/>
      <c r="F43" s="488"/>
      <c r="G43" s="449"/>
      <c r="H43" s="449"/>
      <c r="I43" s="455">
        <f>+ROUND('SP Min'!D119,0)</f>
        <v>0</v>
      </c>
      <c r="J43" s="455">
        <v>0</v>
      </c>
      <c r="K43" s="445">
        <f t="shared" si="5"/>
        <v>0</v>
      </c>
      <c r="L43" s="451" t="str">
        <f t="shared" si="4"/>
        <v xml:space="preserve">-    </v>
      </c>
      <c r="M43" s="446"/>
      <c r="Q43" s="456"/>
      <c r="R43" s="456"/>
      <c r="S43" s="456"/>
      <c r="T43" s="456"/>
    </row>
    <row r="44" spans="1:20" s="452" customFormat="1" ht="11.25">
      <c r="A44" s="483"/>
      <c r="B44" s="485"/>
      <c r="C44" s="487" t="s">
        <v>2671</v>
      </c>
      <c r="D44" s="487" t="s">
        <v>2716</v>
      </c>
      <c r="E44" s="485"/>
      <c r="F44" s="157"/>
      <c r="G44" s="449"/>
      <c r="H44" s="449"/>
      <c r="I44" s="455">
        <f>+ROUND('SP Min'!D127,0)</f>
        <v>0</v>
      </c>
      <c r="J44" s="455">
        <v>0</v>
      </c>
      <c r="K44" s="445">
        <f t="shared" si="5"/>
        <v>0</v>
      </c>
      <c r="L44" s="451" t="str">
        <f t="shared" si="4"/>
        <v xml:space="preserve">-    </v>
      </c>
      <c r="M44" s="446"/>
      <c r="Q44" s="456"/>
      <c r="R44" s="456"/>
      <c r="S44" s="456"/>
      <c r="T44" s="456"/>
    </row>
    <row r="45" spans="1:20" s="452" customFormat="1" ht="11.25">
      <c r="A45" s="483"/>
      <c r="B45" s="485"/>
      <c r="C45" s="485"/>
      <c r="D45" s="485"/>
      <c r="E45" s="485"/>
      <c r="F45" s="157"/>
      <c r="G45" s="470" t="s">
        <v>2696</v>
      </c>
      <c r="H45" s="470" t="s">
        <v>2697</v>
      </c>
      <c r="I45" s="455"/>
      <c r="J45" s="455"/>
      <c r="K45" s="445">
        <f t="shared" si="5"/>
        <v>0</v>
      </c>
      <c r="L45" s="451" t="str">
        <f t="shared" si="4"/>
        <v xml:space="preserve">-    </v>
      </c>
      <c r="M45" s="446"/>
      <c r="Q45" s="456"/>
      <c r="R45" s="456"/>
      <c r="S45" s="456"/>
      <c r="T45" s="456"/>
    </row>
    <row r="46" spans="1:20" s="441" customFormat="1" ht="25.5" customHeight="1">
      <c r="A46" s="442"/>
      <c r="B46" s="434" t="s">
        <v>2675</v>
      </c>
      <c r="C46" s="851" t="s">
        <v>2717</v>
      </c>
      <c r="D46" s="851"/>
      <c r="E46" s="851"/>
      <c r="F46" s="852"/>
      <c r="G46" s="444">
        <f>G47+G58+G71+G72+G75+G76+G77</f>
        <v>0</v>
      </c>
      <c r="H46" s="444">
        <f>H47+H58+H71+H72+H75+H76+H77</f>
        <v>0</v>
      </c>
      <c r="I46" s="444">
        <f>I47+I58+I71+I72+I75+I76+I77</f>
        <v>137636075</v>
      </c>
      <c r="J46" s="444">
        <v>148663910</v>
      </c>
      <c r="K46" s="445">
        <f t="shared" si="5"/>
        <v>-11027835</v>
      </c>
      <c r="L46" s="440">
        <f t="shared" si="4"/>
        <v>-7.4179637815257243E-2</v>
      </c>
      <c r="M46" s="446"/>
      <c r="Q46" s="458"/>
      <c r="R46" s="458"/>
      <c r="S46" s="458"/>
      <c r="T46" s="458"/>
    </row>
    <row r="47" spans="1:20" s="452" customFormat="1" ht="11.25">
      <c r="A47" s="453"/>
      <c r="B47" s="485"/>
      <c r="C47" s="487" t="s">
        <v>86</v>
      </c>
      <c r="D47" s="487" t="s">
        <v>2718</v>
      </c>
      <c r="E47" s="485"/>
      <c r="F47" s="489"/>
      <c r="G47" s="490"/>
      <c r="H47" s="490"/>
      <c r="I47" s="455">
        <f>I48+I51+I52+I57</f>
        <v>0</v>
      </c>
      <c r="J47" s="455">
        <v>0</v>
      </c>
      <c r="K47" s="445">
        <f t="shared" si="5"/>
        <v>0</v>
      </c>
      <c r="L47" s="451" t="str">
        <f t="shared" si="4"/>
        <v xml:space="preserve">-    </v>
      </c>
      <c r="M47" s="446"/>
      <c r="Q47" s="456"/>
      <c r="R47" s="456"/>
      <c r="S47" s="456"/>
      <c r="T47" s="456"/>
    </row>
    <row r="48" spans="1:20" s="452" customFormat="1" ht="11.25">
      <c r="A48" s="453"/>
      <c r="B48" s="485"/>
      <c r="C48" s="487"/>
      <c r="D48" s="491" t="s">
        <v>2678</v>
      </c>
      <c r="E48" s="491" t="s">
        <v>2719</v>
      </c>
      <c r="F48" s="489"/>
      <c r="G48" s="490"/>
      <c r="H48" s="492"/>
      <c r="I48" s="455">
        <f>I49+I50</f>
        <v>0</v>
      </c>
      <c r="J48" s="455">
        <v>0</v>
      </c>
      <c r="K48" s="445">
        <f>+I48-J48</f>
        <v>0</v>
      </c>
      <c r="L48" s="451" t="str">
        <f t="shared" si="4"/>
        <v xml:space="preserve">-    </v>
      </c>
      <c r="M48" s="446"/>
      <c r="Q48" s="456"/>
      <c r="R48" s="456"/>
      <c r="S48" s="456"/>
      <c r="T48" s="456"/>
    </row>
    <row r="49" spans="1:20" s="452" customFormat="1" ht="11.25">
      <c r="A49" s="453"/>
      <c r="B49" s="485"/>
      <c r="C49" s="487"/>
      <c r="D49" s="487"/>
      <c r="E49" s="487" t="s">
        <v>86</v>
      </c>
      <c r="F49" s="489" t="s">
        <v>2720</v>
      </c>
      <c r="G49" s="490"/>
      <c r="H49" s="492"/>
      <c r="I49" s="455">
        <f>+ROUND('SP Min'!D130+'SP Min'!D131+'SP Min'!D132+'SP Min'!D133+'SP Min'!D134+'SP Min'!D135+'SP Min'!D137,0)</f>
        <v>0</v>
      </c>
      <c r="J49" s="455">
        <v>0</v>
      </c>
      <c r="K49" s="445">
        <f t="shared" si="5"/>
        <v>0</v>
      </c>
      <c r="L49" s="451" t="str">
        <f t="shared" si="4"/>
        <v xml:space="preserve">-    </v>
      </c>
      <c r="M49" s="446"/>
      <c r="Q49" s="456"/>
      <c r="R49" s="456"/>
      <c r="S49" s="456"/>
      <c r="T49" s="456"/>
    </row>
    <row r="50" spans="1:20" s="452" customFormat="1" ht="11.25">
      <c r="A50" s="453"/>
      <c r="B50" s="485"/>
      <c r="C50" s="487"/>
      <c r="D50" s="487"/>
      <c r="E50" s="487" t="s">
        <v>88</v>
      </c>
      <c r="F50" s="489" t="s">
        <v>2721</v>
      </c>
      <c r="G50" s="490"/>
      <c r="H50" s="492"/>
      <c r="I50" s="455">
        <f>+ROUND('SP Min'!D136,0)</f>
        <v>0</v>
      </c>
      <c r="J50" s="455">
        <v>0</v>
      </c>
      <c r="K50" s="445">
        <f t="shared" si="5"/>
        <v>0</v>
      </c>
      <c r="L50" s="451" t="str">
        <f t="shared" si="4"/>
        <v xml:space="preserve">-    </v>
      </c>
      <c r="M50" s="446"/>
      <c r="Q50" s="456"/>
      <c r="R50" s="456"/>
      <c r="S50" s="456"/>
      <c r="T50" s="456"/>
    </row>
    <row r="51" spans="1:20" s="452" customFormat="1" ht="11.25">
      <c r="A51" s="453"/>
      <c r="B51" s="485"/>
      <c r="C51" s="487"/>
      <c r="D51" s="491" t="s">
        <v>2680</v>
      </c>
      <c r="E51" s="491" t="s">
        <v>2722</v>
      </c>
      <c r="F51" s="489"/>
      <c r="G51" s="490"/>
      <c r="H51" s="492"/>
      <c r="I51" s="455">
        <f>+ROUND('SP Min'!D138,0)</f>
        <v>0</v>
      </c>
      <c r="J51" s="455">
        <v>0</v>
      </c>
      <c r="K51" s="445">
        <f t="shared" si="5"/>
        <v>0</v>
      </c>
      <c r="L51" s="451" t="str">
        <f t="shared" si="4"/>
        <v xml:space="preserve">-    </v>
      </c>
      <c r="M51" s="446"/>
      <c r="Q51" s="456"/>
      <c r="R51" s="456"/>
      <c r="S51" s="456"/>
      <c r="T51" s="456"/>
    </row>
    <row r="52" spans="1:20" s="452" customFormat="1" ht="11.25">
      <c r="A52" s="453"/>
      <c r="B52" s="485"/>
      <c r="C52" s="487"/>
      <c r="D52" s="491" t="s">
        <v>2703</v>
      </c>
      <c r="E52" s="491" t="s">
        <v>2723</v>
      </c>
      <c r="F52" s="489"/>
      <c r="G52" s="490"/>
      <c r="H52" s="492"/>
      <c r="I52" s="455">
        <f>I53+I54+I55+I56</f>
        <v>0</v>
      </c>
      <c r="J52" s="455">
        <v>0</v>
      </c>
      <c r="K52" s="445">
        <f t="shared" si="5"/>
        <v>0</v>
      </c>
      <c r="L52" s="451" t="str">
        <f t="shared" si="4"/>
        <v xml:space="preserve">-    </v>
      </c>
      <c r="M52" s="446"/>
      <c r="Q52" s="456"/>
      <c r="R52" s="456"/>
      <c r="S52" s="456"/>
      <c r="T52" s="456"/>
    </row>
    <row r="53" spans="1:20" s="452" customFormat="1" ht="11.25">
      <c r="A53" s="453"/>
      <c r="B53" s="485"/>
      <c r="C53" s="487"/>
      <c r="D53" s="487"/>
      <c r="E53" s="487" t="s">
        <v>86</v>
      </c>
      <c r="F53" s="489" t="s">
        <v>2724</v>
      </c>
      <c r="G53" s="490"/>
      <c r="H53" s="492"/>
      <c r="I53" s="455">
        <f>+ROUND('SP Min'!D140,0)</f>
        <v>0</v>
      </c>
      <c r="J53" s="455">
        <v>0</v>
      </c>
      <c r="K53" s="445">
        <f t="shared" si="5"/>
        <v>0</v>
      </c>
      <c r="L53" s="451" t="str">
        <f t="shared" si="4"/>
        <v xml:space="preserve">-    </v>
      </c>
      <c r="M53" s="446"/>
      <c r="Q53" s="456"/>
      <c r="R53" s="456"/>
      <c r="S53" s="456"/>
      <c r="T53" s="456"/>
    </row>
    <row r="54" spans="1:20" s="452" customFormat="1" ht="11.25">
      <c r="A54" s="453"/>
      <c r="B54" s="485"/>
      <c r="C54" s="487"/>
      <c r="D54" s="487"/>
      <c r="E54" s="487" t="s">
        <v>88</v>
      </c>
      <c r="F54" s="489" t="s">
        <v>2725</v>
      </c>
      <c r="G54" s="490"/>
      <c r="H54" s="492"/>
      <c r="I54" s="455">
        <f>+ROUND('SP Min'!D141,0)</f>
        <v>0</v>
      </c>
      <c r="J54" s="455">
        <v>0</v>
      </c>
      <c r="K54" s="445">
        <f t="shared" si="5"/>
        <v>0</v>
      </c>
      <c r="L54" s="451" t="str">
        <f t="shared" si="4"/>
        <v xml:space="preserve">-    </v>
      </c>
      <c r="M54" s="446"/>
      <c r="Q54" s="456"/>
      <c r="R54" s="456"/>
      <c r="S54" s="456"/>
      <c r="T54" s="456"/>
    </row>
    <row r="55" spans="1:20" s="452" customFormat="1" ht="11.25">
      <c r="A55" s="453"/>
      <c r="B55" s="485"/>
      <c r="C55" s="487"/>
      <c r="D55" s="487"/>
      <c r="E55" s="487" t="s">
        <v>116</v>
      </c>
      <c r="F55" s="489" t="s">
        <v>2726</v>
      </c>
      <c r="G55" s="490"/>
      <c r="H55" s="492"/>
      <c r="I55" s="455">
        <f>+ROUND('SP Min'!D142,0)</f>
        <v>0</v>
      </c>
      <c r="J55" s="455">
        <v>0</v>
      </c>
      <c r="K55" s="445">
        <f t="shared" si="5"/>
        <v>0</v>
      </c>
      <c r="L55" s="451" t="str">
        <f t="shared" si="4"/>
        <v xml:space="preserve">-    </v>
      </c>
      <c r="M55" s="446"/>
      <c r="Q55" s="456"/>
      <c r="R55" s="456"/>
      <c r="S55" s="456"/>
      <c r="T55" s="456"/>
    </row>
    <row r="56" spans="1:20" s="452" customFormat="1" ht="11.25">
      <c r="A56" s="453"/>
      <c r="B56" s="485"/>
      <c r="C56" s="487"/>
      <c r="D56" s="487"/>
      <c r="E56" s="487" t="s">
        <v>2671</v>
      </c>
      <c r="F56" s="489" t="s">
        <v>2727</v>
      </c>
      <c r="G56" s="490"/>
      <c r="H56" s="492"/>
      <c r="I56" s="455">
        <f>+ROUND('SP Min'!D143,0)</f>
        <v>0</v>
      </c>
      <c r="J56" s="455">
        <v>0</v>
      </c>
      <c r="K56" s="445">
        <f t="shared" si="5"/>
        <v>0</v>
      </c>
      <c r="L56" s="451" t="str">
        <f t="shared" si="4"/>
        <v xml:space="preserve">-    </v>
      </c>
      <c r="M56" s="446"/>
      <c r="Q56" s="456"/>
      <c r="R56" s="456"/>
      <c r="S56" s="456"/>
      <c r="T56" s="456"/>
    </row>
    <row r="57" spans="1:20" s="452" customFormat="1" ht="11.25">
      <c r="A57" s="453"/>
      <c r="B57" s="487"/>
      <c r="C57" s="487"/>
      <c r="D57" s="491" t="s">
        <v>2705</v>
      </c>
      <c r="E57" s="491" t="s">
        <v>2728</v>
      </c>
      <c r="F57" s="493"/>
      <c r="G57" s="490"/>
      <c r="H57" s="492"/>
      <c r="I57" s="455">
        <f>+ROUND('SP Min'!D144,0)</f>
        <v>0</v>
      </c>
      <c r="J57" s="455">
        <v>0</v>
      </c>
      <c r="K57" s="445">
        <f t="shared" si="5"/>
        <v>0</v>
      </c>
      <c r="L57" s="451" t="str">
        <f t="shared" si="4"/>
        <v xml:space="preserve">-    </v>
      </c>
      <c r="M57" s="446"/>
      <c r="Q57" s="456"/>
      <c r="R57" s="456"/>
      <c r="S57" s="456"/>
      <c r="T57" s="456"/>
    </row>
    <row r="58" spans="1:20" s="452" customFormat="1" ht="11.25">
      <c r="A58" s="453"/>
      <c r="B58" s="487"/>
      <c r="C58" s="487" t="s">
        <v>88</v>
      </c>
      <c r="D58" s="487" t="s">
        <v>2729</v>
      </c>
      <c r="E58" s="487"/>
      <c r="F58" s="489"/>
      <c r="G58" s="490"/>
      <c r="H58" s="490"/>
      <c r="I58" s="455">
        <f>I59+I66</f>
        <v>40673076</v>
      </c>
      <c r="J58" s="455">
        <v>3952690</v>
      </c>
      <c r="K58" s="445">
        <f t="shared" si="5"/>
        <v>36720386</v>
      </c>
      <c r="L58" s="451">
        <f t="shared" si="4"/>
        <v>9.2899736635051067</v>
      </c>
      <c r="M58" s="446"/>
      <c r="Q58" s="456"/>
      <c r="R58" s="456"/>
      <c r="S58" s="456"/>
      <c r="T58" s="456"/>
    </row>
    <row r="59" spans="1:20" s="452" customFormat="1" ht="11.25">
      <c r="A59" s="453"/>
      <c r="B59" s="487"/>
      <c r="C59" s="487"/>
      <c r="D59" s="491" t="s">
        <v>2678</v>
      </c>
      <c r="E59" s="491" t="s">
        <v>2730</v>
      </c>
      <c r="F59" s="493"/>
      <c r="G59" s="490"/>
      <c r="H59" s="490"/>
      <c r="I59" s="455">
        <f>I60+I65</f>
        <v>27879206</v>
      </c>
      <c r="J59" s="455">
        <v>3229778</v>
      </c>
      <c r="K59" s="445">
        <f t="shared" si="5"/>
        <v>24649428</v>
      </c>
      <c r="L59" s="451">
        <f t="shared" si="4"/>
        <v>7.631926404848878</v>
      </c>
      <c r="M59" s="446"/>
      <c r="Q59" s="456"/>
      <c r="R59" s="456"/>
      <c r="S59" s="456"/>
      <c r="T59" s="456"/>
    </row>
    <row r="60" spans="1:20" s="452" customFormat="1" ht="11.25">
      <c r="A60" s="453"/>
      <c r="B60" s="487"/>
      <c r="C60" s="487"/>
      <c r="D60" s="487"/>
      <c r="E60" s="487" t="s">
        <v>86</v>
      </c>
      <c r="F60" s="493" t="s">
        <v>2731</v>
      </c>
      <c r="G60" s="490">
        <f>+I60-H60</f>
        <v>26576515</v>
      </c>
      <c r="H60" s="490">
        <v>620000</v>
      </c>
      <c r="I60" s="455">
        <f>I61+I62+I63+I64</f>
        <v>27196515</v>
      </c>
      <c r="J60" s="455">
        <v>2547087</v>
      </c>
      <c r="K60" s="445">
        <f t="shared" si="5"/>
        <v>24649428</v>
      </c>
      <c r="L60" s="451">
        <f t="shared" si="4"/>
        <v>9.6774974706399899</v>
      </c>
      <c r="M60" s="446"/>
      <c r="Q60" s="456"/>
      <c r="R60" s="456"/>
      <c r="S60" s="456"/>
      <c r="T60" s="456"/>
    </row>
    <row r="61" spans="1:20" s="452" customFormat="1" ht="22.5">
      <c r="A61" s="453"/>
      <c r="B61" s="487"/>
      <c r="C61" s="487"/>
      <c r="D61" s="487"/>
      <c r="E61" s="487"/>
      <c r="F61" s="494" t="s">
        <v>2732</v>
      </c>
      <c r="G61" s="490"/>
      <c r="H61" s="490"/>
      <c r="I61" s="455">
        <f>+ROUND('SP Min'!D147+'SP Min'!D148+'SP Min'!D149+'SP Min'!D150+'SP Min'!D154+'SP Min'!D156,0)</f>
        <v>0</v>
      </c>
      <c r="J61" s="455">
        <v>0</v>
      </c>
      <c r="K61" s="445">
        <f t="shared" si="5"/>
        <v>0</v>
      </c>
      <c r="L61" s="451" t="str">
        <f t="shared" si="4"/>
        <v xml:space="preserve">-    </v>
      </c>
      <c r="M61" s="446"/>
      <c r="Q61" s="456"/>
      <c r="R61" s="456"/>
      <c r="S61" s="456"/>
      <c r="T61" s="456"/>
    </row>
    <row r="62" spans="1:20" s="452" customFormat="1" ht="22.5">
      <c r="A62" s="453"/>
      <c r="B62" s="487"/>
      <c r="C62" s="487"/>
      <c r="D62" s="487"/>
      <c r="E62" s="487"/>
      <c r="F62" s="494" t="s">
        <v>2733</v>
      </c>
      <c r="G62" s="490"/>
      <c r="H62" s="490"/>
      <c r="I62" s="455">
        <f>+ROUND('SP Min'!D151,0)</f>
        <v>0</v>
      </c>
      <c r="J62" s="455">
        <v>0</v>
      </c>
      <c r="K62" s="445">
        <f t="shared" si="5"/>
        <v>0</v>
      </c>
      <c r="L62" s="451" t="str">
        <f t="shared" si="4"/>
        <v xml:space="preserve">-    </v>
      </c>
      <c r="M62" s="446"/>
      <c r="Q62" s="456"/>
      <c r="R62" s="456"/>
      <c r="S62" s="456"/>
      <c r="T62" s="456"/>
    </row>
    <row r="63" spans="1:20" s="452" customFormat="1" ht="22.5">
      <c r="A63" s="453"/>
      <c r="B63" s="487"/>
      <c r="C63" s="487"/>
      <c r="D63" s="487"/>
      <c r="E63" s="487"/>
      <c r="F63" s="494" t="s">
        <v>2734</v>
      </c>
      <c r="G63" s="490"/>
      <c r="H63" s="490"/>
      <c r="I63" s="455">
        <f>+ROUND('SP Min'!D152,0)</f>
        <v>0</v>
      </c>
      <c r="J63" s="455">
        <v>0</v>
      </c>
      <c r="K63" s="445">
        <f t="shared" si="5"/>
        <v>0</v>
      </c>
      <c r="L63" s="451" t="str">
        <f t="shared" si="4"/>
        <v xml:space="preserve">-    </v>
      </c>
      <c r="M63" s="446"/>
      <c r="Q63" s="456"/>
      <c r="R63" s="456"/>
      <c r="S63" s="456"/>
      <c r="T63" s="456"/>
    </row>
    <row r="64" spans="1:20" s="452" customFormat="1" ht="22.5">
      <c r="A64" s="453"/>
      <c r="B64" s="487"/>
      <c r="C64" s="487"/>
      <c r="D64" s="487"/>
      <c r="E64" s="487"/>
      <c r="F64" s="494" t="s">
        <v>2735</v>
      </c>
      <c r="G64" s="490"/>
      <c r="H64" s="495"/>
      <c r="I64" s="455">
        <f>+ROUND('SP Min'!D153,0)</f>
        <v>27196515</v>
      </c>
      <c r="J64" s="455">
        <v>2547087</v>
      </c>
      <c r="K64" s="445">
        <f t="shared" si="5"/>
        <v>24649428</v>
      </c>
      <c r="L64" s="451">
        <f t="shared" si="4"/>
        <v>9.6774974706399899</v>
      </c>
      <c r="M64" s="446"/>
      <c r="Q64" s="456"/>
      <c r="R64" s="456"/>
      <c r="S64" s="456"/>
      <c r="T64" s="456"/>
    </row>
    <row r="65" spans="1:20" s="452" customFormat="1" ht="11.25">
      <c r="A65" s="453"/>
      <c r="B65" s="487"/>
      <c r="C65" s="487"/>
      <c r="D65" s="487"/>
      <c r="E65" s="487" t="s">
        <v>88</v>
      </c>
      <c r="F65" s="487" t="s">
        <v>2736</v>
      </c>
      <c r="G65" s="490"/>
      <c r="H65" s="495"/>
      <c r="I65" s="455">
        <f>+ROUND('SP Min'!D155,0)</f>
        <v>682691</v>
      </c>
      <c r="J65" s="455">
        <v>682691</v>
      </c>
      <c r="K65" s="445">
        <f t="shared" si="5"/>
        <v>0</v>
      </c>
      <c r="L65" s="451">
        <f t="shared" si="4"/>
        <v>0</v>
      </c>
      <c r="M65" s="446"/>
      <c r="Q65" s="456"/>
      <c r="R65" s="456"/>
      <c r="S65" s="456"/>
      <c r="T65" s="456"/>
    </row>
    <row r="66" spans="1:20" s="452" customFormat="1" ht="11.25">
      <c r="A66" s="453"/>
      <c r="B66" s="487"/>
      <c r="C66" s="487"/>
      <c r="D66" s="491" t="s">
        <v>2680</v>
      </c>
      <c r="E66" s="491" t="s">
        <v>2737</v>
      </c>
      <c r="F66" s="493"/>
      <c r="G66" s="490"/>
      <c r="H66" s="495"/>
      <c r="I66" s="455">
        <f>I67+I68+I69+I70</f>
        <v>12793870</v>
      </c>
      <c r="J66" s="455">
        <v>722912</v>
      </c>
      <c r="K66" s="445">
        <f t="shared" si="5"/>
        <v>12070958</v>
      </c>
      <c r="L66" s="451">
        <f t="shared" si="4"/>
        <v>16.697686578726042</v>
      </c>
      <c r="M66" s="446"/>
      <c r="Q66" s="456"/>
      <c r="R66" s="456"/>
      <c r="S66" s="456"/>
      <c r="T66" s="456"/>
    </row>
    <row r="67" spans="1:20" s="452" customFormat="1" ht="11.25">
      <c r="A67" s="453"/>
      <c r="B67" s="487"/>
      <c r="C67" s="487"/>
      <c r="D67" s="487"/>
      <c r="E67" s="487" t="s">
        <v>86</v>
      </c>
      <c r="F67" s="493" t="s">
        <v>2738</v>
      </c>
      <c r="G67" s="490">
        <f>+I67-H67</f>
        <v>12483590</v>
      </c>
      <c r="H67" s="495">
        <v>310280</v>
      </c>
      <c r="I67" s="455">
        <f>+ROUND('SP Min'!D158,0)</f>
        <v>12793870</v>
      </c>
      <c r="J67" s="455">
        <v>722912</v>
      </c>
      <c r="K67" s="445">
        <f t="shared" si="5"/>
        <v>12070958</v>
      </c>
      <c r="L67" s="451">
        <f t="shared" si="4"/>
        <v>16.697686578726042</v>
      </c>
      <c r="M67" s="446"/>
      <c r="Q67" s="456"/>
      <c r="R67" s="456"/>
      <c r="S67" s="456"/>
      <c r="T67" s="456"/>
    </row>
    <row r="68" spans="1:20" s="452" customFormat="1" ht="11.25">
      <c r="A68" s="453"/>
      <c r="B68" s="487"/>
      <c r="C68" s="487"/>
      <c r="D68" s="487"/>
      <c r="E68" s="487" t="s">
        <v>88</v>
      </c>
      <c r="F68" s="493" t="s">
        <v>2739</v>
      </c>
      <c r="G68" s="490"/>
      <c r="H68" s="495"/>
      <c r="I68" s="455">
        <f>+ROUND('SP Min'!D159,0)</f>
        <v>0</v>
      </c>
      <c r="J68" s="455">
        <v>0</v>
      </c>
      <c r="K68" s="445">
        <f t="shared" si="5"/>
        <v>0</v>
      </c>
      <c r="L68" s="451" t="str">
        <f t="shared" si="4"/>
        <v xml:space="preserve">-    </v>
      </c>
      <c r="M68" s="446"/>
      <c r="Q68" s="456"/>
      <c r="R68" s="456"/>
      <c r="S68" s="456"/>
      <c r="T68" s="456"/>
    </row>
    <row r="69" spans="1:20" s="452" customFormat="1" ht="11.25">
      <c r="A69" s="453"/>
      <c r="B69" s="487"/>
      <c r="C69" s="487"/>
      <c r="D69" s="487"/>
      <c r="E69" s="487" t="s">
        <v>116</v>
      </c>
      <c r="F69" s="493" t="s">
        <v>2740</v>
      </c>
      <c r="G69" s="490"/>
      <c r="H69" s="495"/>
      <c r="I69" s="455">
        <f>+ROUND('SP Min'!D160+'SP Min'!D161+'SP Min'!D164+'SP Min'!D165+'SP Min'!D162,0)</f>
        <v>0</v>
      </c>
      <c r="J69" s="455">
        <v>0</v>
      </c>
      <c r="K69" s="445">
        <f t="shared" si="5"/>
        <v>0</v>
      </c>
      <c r="L69" s="451" t="str">
        <f t="shared" si="4"/>
        <v xml:space="preserve">-    </v>
      </c>
      <c r="M69" s="446"/>
      <c r="Q69" s="456"/>
      <c r="R69" s="456"/>
      <c r="S69" s="456"/>
      <c r="T69" s="456"/>
    </row>
    <row r="70" spans="1:20" s="452" customFormat="1" ht="22.5">
      <c r="A70" s="453"/>
      <c r="B70" s="485"/>
      <c r="C70" s="487"/>
      <c r="D70" s="485"/>
      <c r="E70" s="487" t="s">
        <v>2671</v>
      </c>
      <c r="F70" s="496" t="s">
        <v>2741</v>
      </c>
      <c r="G70" s="490"/>
      <c r="H70" s="490"/>
      <c r="I70" s="455">
        <f>+ROUND('SP Min'!D163,0)</f>
        <v>0</v>
      </c>
      <c r="J70" s="455">
        <v>0</v>
      </c>
      <c r="K70" s="445">
        <f t="shared" si="5"/>
        <v>0</v>
      </c>
      <c r="L70" s="451" t="str">
        <f t="shared" si="4"/>
        <v xml:space="preserve">-    </v>
      </c>
      <c r="M70" s="446"/>
      <c r="Q70" s="456"/>
      <c r="R70" s="456"/>
      <c r="S70" s="456"/>
      <c r="T70" s="456"/>
    </row>
    <row r="71" spans="1:20" s="452" customFormat="1" ht="11.25">
      <c r="A71" s="453"/>
      <c r="B71" s="485"/>
      <c r="C71" s="487" t="s">
        <v>116</v>
      </c>
      <c r="D71" s="487" t="s">
        <v>2742</v>
      </c>
      <c r="E71" s="454"/>
      <c r="F71" s="493"/>
      <c r="G71" s="490"/>
      <c r="H71" s="490"/>
      <c r="I71" s="455">
        <f>+ROUND('SP Min'!D166,0)</f>
        <v>0</v>
      </c>
      <c r="J71" s="455">
        <v>8241</v>
      </c>
      <c r="K71" s="445">
        <f t="shared" si="5"/>
        <v>-8241</v>
      </c>
      <c r="L71" s="451">
        <f t="shared" si="4"/>
        <v>-1</v>
      </c>
      <c r="M71" s="446"/>
      <c r="Q71" s="456"/>
      <c r="R71" s="456"/>
      <c r="S71" s="456"/>
      <c r="T71" s="456"/>
    </row>
    <row r="72" spans="1:20" s="452" customFormat="1" ht="11.25">
      <c r="A72" s="453"/>
      <c r="B72" s="485"/>
      <c r="C72" s="487" t="s">
        <v>2671</v>
      </c>
      <c r="D72" s="487" t="s">
        <v>2743</v>
      </c>
      <c r="E72" s="487"/>
      <c r="F72" s="493"/>
      <c r="G72" s="490"/>
      <c r="H72" s="490"/>
      <c r="I72" s="455">
        <f>I73+I74</f>
        <v>96407175</v>
      </c>
      <c r="J72" s="455">
        <v>144100637</v>
      </c>
      <c r="K72" s="445">
        <f t="shared" si="5"/>
        <v>-47693462</v>
      </c>
      <c r="L72" s="451">
        <f t="shared" si="4"/>
        <v>-0.3309732905622062</v>
      </c>
      <c r="M72" s="446"/>
      <c r="Q72" s="456"/>
      <c r="R72" s="456"/>
      <c r="S72" s="456"/>
      <c r="T72" s="456"/>
    </row>
    <row r="73" spans="1:20" s="452" customFormat="1" ht="11.25">
      <c r="A73" s="453"/>
      <c r="B73" s="485"/>
      <c r="C73" s="487"/>
      <c r="D73" s="491" t="s">
        <v>2678</v>
      </c>
      <c r="E73" s="491" t="s">
        <v>2744</v>
      </c>
      <c r="F73" s="493"/>
      <c r="G73" s="490"/>
      <c r="H73" s="490"/>
      <c r="I73" s="455">
        <f>+ROUND('SP Min'!D168+'SP Min'!D172+'SP Min'!D173+'SP Min'!D175,0)</f>
        <v>96353473</v>
      </c>
      <c r="J73" s="455">
        <v>144044035</v>
      </c>
      <c r="K73" s="445">
        <f t="shared" si="5"/>
        <v>-47690562</v>
      </c>
      <c r="L73" s="451">
        <f t="shared" si="4"/>
        <v>-0.33108321354646864</v>
      </c>
      <c r="M73" s="446"/>
      <c r="Q73" s="456"/>
      <c r="R73" s="456"/>
      <c r="S73" s="456"/>
      <c r="T73" s="456"/>
    </row>
    <row r="74" spans="1:20" s="452" customFormat="1" ht="11.25">
      <c r="A74" s="453"/>
      <c r="B74" s="485"/>
      <c r="C74" s="487"/>
      <c r="D74" s="491" t="s">
        <v>2680</v>
      </c>
      <c r="E74" s="491" t="s">
        <v>2745</v>
      </c>
      <c r="F74" s="493"/>
      <c r="G74" s="490"/>
      <c r="H74" s="490"/>
      <c r="I74" s="455">
        <f>+ROUND('SP Min'!D174,0)</f>
        <v>53702</v>
      </c>
      <c r="J74" s="455">
        <v>56602</v>
      </c>
      <c r="K74" s="445">
        <f t="shared" si="5"/>
        <v>-2900</v>
      </c>
      <c r="L74" s="451">
        <f t="shared" si="4"/>
        <v>-5.1234938694745769E-2</v>
      </c>
      <c r="M74" s="446"/>
      <c r="Q74" s="456"/>
      <c r="R74" s="456"/>
      <c r="S74" s="456"/>
      <c r="T74" s="456"/>
    </row>
    <row r="75" spans="1:20" s="452" customFormat="1" ht="11.25">
      <c r="A75" s="453"/>
      <c r="B75" s="485"/>
      <c r="C75" s="487" t="s">
        <v>2673</v>
      </c>
      <c r="D75" s="487" t="s">
        <v>2746</v>
      </c>
      <c r="E75" s="487"/>
      <c r="F75" s="493"/>
      <c r="G75" s="490"/>
      <c r="H75" s="490"/>
      <c r="I75" s="455">
        <f>+ROUND('SP Min'!D176,0)</f>
        <v>0</v>
      </c>
      <c r="J75" s="455">
        <v>0</v>
      </c>
      <c r="K75" s="445">
        <f t="shared" si="5"/>
        <v>0</v>
      </c>
      <c r="L75" s="451" t="str">
        <f t="shared" si="4"/>
        <v xml:space="preserve">-    </v>
      </c>
      <c r="M75" s="446"/>
      <c r="Q75" s="456"/>
      <c r="R75" s="456"/>
      <c r="S75" s="456"/>
      <c r="T75" s="456"/>
    </row>
    <row r="76" spans="1:20" s="452" customFormat="1" ht="11.25">
      <c r="A76" s="453"/>
      <c r="B76" s="485"/>
      <c r="C76" s="487" t="s">
        <v>2688</v>
      </c>
      <c r="D76" s="487" t="s">
        <v>2747</v>
      </c>
      <c r="E76" s="487"/>
      <c r="F76" s="493"/>
      <c r="G76" s="490"/>
      <c r="H76" s="490"/>
      <c r="I76" s="497">
        <f>+ROUND('SP Min'!D180,0)</f>
        <v>47454</v>
      </c>
      <c r="J76" s="497">
        <v>35877</v>
      </c>
      <c r="K76" s="445">
        <f t="shared" si="5"/>
        <v>11577</v>
      </c>
      <c r="L76" s="451">
        <f t="shared" si="4"/>
        <v>0.32268584329793459</v>
      </c>
      <c r="M76" s="446"/>
      <c r="Q76" s="456"/>
      <c r="R76" s="456"/>
      <c r="S76" s="456"/>
      <c r="T76" s="456"/>
    </row>
    <row r="77" spans="1:20" s="452" customFormat="1" ht="11.25">
      <c r="A77" s="453"/>
      <c r="B77" s="485"/>
      <c r="C77" s="487" t="s">
        <v>2690</v>
      </c>
      <c r="D77" s="487" t="s">
        <v>2748</v>
      </c>
      <c r="E77" s="487"/>
      <c r="F77" s="493"/>
      <c r="G77" s="498"/>
      <c r="H77" s="498"/>
      <c r="I77" s="455">
        <f>+ROUND('SP Min'!D181,0)</f>
        <v>508370</v>
      </c>
      <c r="J77" s="497">
        <v>566465</v>
      </c>
      <c r="K77" s="445">
        <f t="shared" si="5"/>
        <v>-58095</v>
      </c>
      <c r="L77" s="451">
        <f t="shared" si="4"/>
        <v>-0.10255708649254587</v>
      </c>
      <c r="M77" s="446"/>
      <c r="Q77" s="456"/>
      <c r="R77" s="456"/>
      <c r="S77" s="456"/>
      <c r="T77" s="456"/>
    </row>
    <row r="78" spans="1:20" s="441" customFormat="1" ht="11.25">
      <c r="A78" s="483"/>
      <c r="B78" s="485" t="s">
        <v>2698</v>
      </c>
      <c r="C78" s="499" t="s">
        <v>2749</v>
      </c>
      <c r="D78" s="485"/>
      <c r="E78" s="485"/>
      <c r="F78" s="499"/>
      <c r="G78" s="485"/>
      <c r="H78" s="485"/>
      <c r="I78" s="500">
        <f>SUM(I79:I80)</f>
        <v>0</v>
      </c>
      <c r="J78" s="500">
        <v>0</v>
      </c>
      <c r="K78" s="445">
        <f t="shared" si="5"/>
        <v>0</v>
      </c>
      <c r="L78" s="440" t="str">
        <f t="shared" si="4"/>
        <v xml:space="preserve">-    </v>
      </c>
      <c r="M78" s="446"/>
      <c r="Q78" s="458"/>
      <c r="R78" s="458"/>
      <c r="S78" s="458"/>
      <c r="T78" s="458"/>
    </row>
    <row r="79" spans="1:20" s="452" customFormat="1" ht="11.25">
      <c r="A79" s="453"/>
      <c r="B79" s="485"/>
      <c r="C79" s="487" t="s">
        <v>86</v>
      </c>
      <c r="D79" s="487" t="s">
        <v>2750</v>
      </c>
      <c r="E79" s="485"/>
      <c r="F79" s="454"/>
      <c r="G79" s="487"/>
      <c r="H79" s="487"/>
      <c r="I79" s="497">
        <f>+ROUND('SP Min'!D193,0)</f>
        <v>0</v>
      </c>
      <c r="J79" s="497">
        <v>0</v>
      </c>
      <c r="K79" s="445">
        <f t="shared" si="5"/>
        <v>0</v>
      </c>
      <c r="L79" s="451" t="str">
        <f t="shared" si="4"/>
        <v xml:space="preserve">-    </v>
      </c>
      <c r="M79" s="446"/>
      <c r="Q79" s="456"/>
      <c r="R79" s="456"/>
      <c r="S79" s="456"/>
      <c r="T79" s="456"/>
    </row>
    <row r="80" spans="1:20" s="452" customFormat="1" ht="11.25">
      <c r="A80" s="483"/>
      <c r="B80" s="485"/>
      <c r="C80" s="487" t="s">
        <v>88</v>
      </c>
      <c r="D80" s="487" t="s">
        <v>2751</v>
      </c>
      <c r="E80" s="485"/>
      <c r="F80" s="501"/>
      <c r="G80" s="487"/>
      <c r="H80" s="487"/>
      <c r="I80" s="497">
        <f>+ROUND('SP Min'!D194,0)</f>
        <v>0</v>
      </c>
      <c r="J80" s="497">
        <v>0</v>
      </c>
      <c r="K80" s="445">
        <f t="shared" si="5"/>
        <v>0</v>
      </c>
      <c r="L80" s="451" t="str">
        <f t="shared" si="4"/>
        <v xml:space="preserve">-    </v>
      </c>
      <c r="M80" s="446"/>
      <c r="Q80" s="456"/>
      <c r="R80" s="456"/>
      <c r="S80" s="456"/>
      <c r="T80" s="456"/>
    </row>
    <row r="81" spans="1:20" s="441" customFormat="1" ht="11.25">
      <c r="A81" s="442"/>
      <c r="B81" s="485" t="s">
        <v>2752</v>
      </c>
      <c r="C81" s="499" t="s">
        <v>2753</v>
      </c>
      <c r="D81" s="485"/>
      <c r="E81" s="485"/>
      <c r="F81" s="435"/>
      <c r="G81" s="485"/>
      <c r="H81" s="485"/>
      <c r="I81" s="502">
        <f>SUM(I82:I85)</f>
        <v>38999330</v>
      </c>
      <c r="J81" s="503">
        <v>32808726</v>
      </c>
      <c r="K81" s="445">
        <f t="shared" si="5"/>
        <v>6190604</v>
      </c>
      <c r="L81" s="440">
        <f t="shared" si="4"/>
        <v>0.18868772899014732</v>
      </c>
      <c r="M81" s="446"/>
      <c r="Q81" s="458"/>
      <c r="R81" s="458"/>
      <c r="S81" s="458"/>
      <c r="T81" s="458"/>
    </row>
    <row r="82" spans="1:20" s="452" customFormat="1" ht="11.25">
      <c r="A82" s="483"/>
      <c r="B82" s="485"/>
      <c r="C82" s="485" t="s">
        <v>86</v>
      </c>
      <c r="D82" s="493" t="s">
        <v>2754</v>
      </c>
      <c r="E82" s="485"/>
      <c r="F82" s="493"/>
      <c r="G82" s="487"/>
      <c r="H82" s="487"/>
      <c r="I82" s="455">
        <f>+ROUND('SP Min'!D196,0)</f>
        <v>1343</v>
      </c>
      <c r="J82" s="497">
        <v>1373</v>
      </c>
      <c r="K82" s="445">
        <f t="shared" si="5"/>
        <v>-30</v>
      </c>
      <c r="L82" s="451">
        <f t="shared" si="4"/>
        <v>-2.1849963583394028E-2</v>
      </c>
      <c r="M82" s="446"/>
      <c r="Q82" s="456"/>
      <c r="R82" s="456"/>
      <c r="S82" s="456"/>
      <c r="T82" s="456"/>
    </row>
    <row r="83" spans="1:20" s="452" customFormat="1" ht="11.25">
      <c r="A83" s="453"/>
      <c r="B83" s="485"/>
      <c r="C83" s="485" t="s">
        <v>88</v>
      </c>
      <c r="D83" s="493" t="s">
        <v>2755</v>
      </c>
      <c r="E83" s="485"/>
      <c r="F83" s="454"/>
      <c r="G83" s="487"/>
      <c r="H83" s="504"/>
      <c r="I83" s="455">
        <f>+ROUND('SP Min'!D197,0)</f>
        <v>38997987</v>
      </c>
      <c r="J83" s="497">
        <v>32807353</v>
      </c>
      <c r="K83" s="445">
        <f t="shared" si="5"/>
        <v>6190634</v>
      </c>
      <c r="L83" s="451">
        <f t="shared" si="4"/>
        <v>0.18869654007136755</v>
      </c>
      <c r="M83" s="446"/>
      <c r="Q83" s="456"/>
      <c r="R83" s="456"/>
      <c r="S83" s="456"/>
      <c r="T83" s="456"/>
    </row>
    <row r="84" spans="1:20" s="452" customFormat="1" ht="11.25">
      <c r="A84" s="453"/>
      <c r="B84" s="485"/>
      <c r="C84" s="485" t="s">
        <v>116</v>
      </c>
      <c r="D84" s="493" t="s">
        <v>2756</v>
      </c>
      <c r="E84" s="485"/>
      <c r="F84" s="454"/>
      <c r="G84" s="487"/>
      <c r="H84" s="487"/>
      <c r="I84" s="455">
        <f>+ROUND('SP Min'!D198,0)</f>
        <v>0</v>
      </c>
      <c r="J84" s="497">
        <v>0</v>
      </c>
      <c r="K84" s="445">
        <f t="shared" si="5"/>
        <v>0</v>
      </c>
      <c r="L84" s="451" t="str">
        <f t="shared" si="4"/>
        <v xml:space="preserve">-    </v>
      </c>
      <c r="M84" s="446"/>
      <c r="Q84" s="456"/>
      <c r="R84" s="456"/>
      <c r="S84" s="456"/>
      <c r="T84" s="456"/>
    </row>
    <row r="85" spans="1:20" s="452" customFormat="1" ht="11.25">
      <c r="A85" s="453"/>
      <c r="B85" s="485"/>
      <c r="C85" s="485" t="s">
        <v>2671</v>
      </c>
      <c r="D85" s="493" t="s">
        <v>2757</v>
      </c>
      <c r="E85" s="485"/>
      <c r="F85" s="454"/>
      <c r="G85" s="487"/>
      <c r="H85" s="487"/>
      <c r="I85" s="455">
        <f>+ROUND('SP Min'!D199,0)</f>
        <v>0</v>
      </c>
      <c r="J85" s="497">
        <v>0</v>
      </c>
      <c r="K85" s="445">
        <f t="shared" si="5"/>
        <v>0</v>
      </c>
      <c r="L85" s="451" t="str">
        <f t="shared" si="4"/>
        <v xml:space="preserve">-    </v>
      </c>
      <c r="M85" s="446"/>
      <c r="Q85" s="456"/>
      <c r="R85" s="456"/>
      <c r="S85" s="456"/>
      <c r="T85" s="456"/>
    </row>
    <row r="86" spans="1:20" s="441" customFormat="1" ht="11.25">
      <c r="A86" s="856" t="s">
        <v>2758</v>
      </c>
      <c r="B86" s="857"/>
      <c r="C86" s="857"/>
      <c r="D86" s="857"/>
      <c r="E86" s="857"/>
      <c r="F86" s="857"/>
      <c r="G86" s="858"/>
      <c r="H86" s="857"/>
      <c r="I86" s="477">
        <f>I40+I46+I78+I81</f>
        <v>242614553</v>
      </c>
      <c r="J86" s="477">
        <f>J40+J46+J78+J81</f>
        <v>247439145</v>
      </c>
      <c r="K86" s="479">
        <f t="shared" si="5"/>
        <v>-4824592</v>
      </c>
      <c r="L86" s="141">
        <f>IF(J86=0,"-    ",K86/J86)</f>
        <v>-1.949809517810935E-2</v>
      </c>
      <c r="M86" s="446"/>
      <c r="Q86" s="458"/>
      <c r="R86" s="458"/>
      <c r="S86" s="458"/>
      <c r="T86" s="458"/>
    </row>
    <row r="87" spans="1:20" s="441" customFormat="1" ht="11.25">
      <c r="A87" s="483" t="s">
        <v>84</v>
      </c>
      <c r="B87" s="484" t="s">
        <v>2759</v>
      </c>
      <c r="C87" s="485"/>
      <c r="D87" s="485"/>
      <c r="E87" s="485"/>
      <c r="F87" s="435"/>
      <c r="G87" s="505"/>
      <c r="H87" s="506"/>
      <c r="I87" s="507"/>
      <c r="J87" s="507"/>
      <c r="K87" s="445">
        <f t="shared" si="5"/>
        <v>0</v>
      </c>
      <c r="L87" s="451" t="str">
        <f t="shared" ref="L87" si="6">IF(J87=0,"-    ",K87/K87)</f>
        <v xml:space="preserve">-    </v>
      </c>
      <c r="M87" s="446"/>
      <c r="Q87" s="458"/>
      <c r="R87" s="458"/>
      <c r="S87" s="458"/>
      <c r="T87" s="458"/>
    </row>
    <row r="88" spans="1:20" s="441" customFormat="1" ht="11.25">
      <c r="A88" s="483"/>
      <c r="B88" s="485" t="s">
        <v>2666</v>
      </c>
      <c r="C88" s="484" t="s">
        <v>2760</v>
      </c>
      <c r="D88" s="485"/>
      <c r="E88" s="485"/>
      <c r="F88" s="499"/>
      <c r="G88" s="485"/>
      <c r="H88" s="506"/>
      <c r="I88" s="497">
        <f>+ROUND('SP Min'!D201,0)</f>
        <v>0</v>
      </c>
      <c r="J88" s="497">
        <f>+ROUND('SP Min'!E201,0)</f>
        <v>0</v>
      </c>
      <c r="K88" s="445">
        <f t="shared" si="5"/>
        <v>0</v>
      </c>
      <c r="L88" s="451" t="str">
        <f t="shared" si="4"/>
        <v xml:space="preserve">-    </v>
      </c>
      <c r="M88" s="446"/>
      <c r="Q88" s="458"/>
      <c r="R88" s="458"/>
      <c r="S88" s="458"/>
      <c r="T88" s="458"/>
    </row>
    <row r="89" spans="1:20" s="441" customFormat="1" ht="11.25">
      <c r="A89" s="483"/>
      <c r="B89" s="485" t="s">
        <v>2675</v>
      </c>
      <c r="C89" s="484" t="s">
        <v>2761</v>
      </c>
      <c r="D89" s="485"/>
      <c r="E89" s="485"/>
      <c r="F89" s="435"/>
      <c r="G89" s="508"/>
      <c r="H89" s="506"/>
      <c r="I89" s="497">
        <f>+ROUND('SP Min'!D204,0)</f>
        <v>663555</v>
      </c>
      <c r="J89" s="497">
        <f>+ROUND('SP Min'!E204,0)</f>
        <v>1841599</v>
      </c>
      <c r="K89" s="445">
        <f t="shared" si="5"/>
        <v>-1178044</v>
      </c>
      <c r="L89" s="451">
        <f t="shared" si="4"/>
        <v>-0.63968540382569716</v>
      </c>
      <c r="M89" s="446"/>
      <c r="Q89" s="458"/>
      <c r="R89" s="458"/>
      <c r="S89" s="458"/>
      <c r="T89" s="458"/>
    </row>
    <row r="90" spans="1:20" s="441" customFormat="1" ht="11.25">
      <c r="A90" s="856" t="s">
        <v>2762</v>
      </c>
      <c r="B90" s="857"/>
      <c r="C90" s="857"/>
      <c r="D90" s="857"/>
      <c r="E90" s="857"/>
      <c r="F90" s="857"/>
      <c r="G90" s="859"/>
      <c r="H90" s="857"/>
      <c r="I90" s="477">
        <f>SUM(I88:I89)</f>
        <v>663555</v>
      </c>
      <c r="J90" s="477">
        <f>SUM(J88:J89)</f>
        <v>1841599</v>
      </c>
      <c r="K90" s="479">
        <f t="shared" si="5"/>
        <v>-1178044</v>
      </c>
      <c r="L90" s="141">
        <f t="shared" si="4"/>
        <v>-0.63968540382569716</v>
      </c>
      <c r="M90" s="446"/>
      <c r="Q90" s="458"/>
      <c r="R90" s="458"/>
      <c r="S90" s="458"/>
      <c r="T90" s="458"/>
    </row>
    <row r="91" spans="1:20" s="441" customFormat="1" ht="5.45" customHeight="1" thickBot="1">
      <c r="A91" s="509"/>
      <c r="B91" s="499"/>
      <c r="C91" s="499"/>
      <c r="D91" s="499"/>
      <c r="E91" s="499"/>
      <c r="F91" s="499"/>
      <c r="G91" s="499"/>
      <c r="H91" s="499"/>
      <c r="I91" s="510"/>
      <c r="J91" s="510"/>
      <c r="K91" s="511"/>
      <c r="L91" s="451"/>
      <c r="M91" s="446"/>
      <c r="Q91" s="458"/>
      <c r="R91" s="458"/>
      <c r="S91" s="458"/>
      <c r="T91" s="458"/>
    </row>
    <row r="92" spans="1:20" s="441" customFormat="1" ht="12" thickBot="1">
      <c r="A92" s="836" t="s">
        <v>2763</v>
      </c>
      <c r="B92" s="837"/>
      <c r="C92" s="837"/>
      <c r="D92" s="837"/>
      <c r="E92" s="837"/>
      <c r="F92" s="837"/>
      <c r="G92" s="837"/>
      <c r="H92" s="837"/>
      <c r="I92" s="512">
        <f>I37+I86+I90</f>
        <v>243721456</v>
      </c>
      <c r="J92" s="512">
        <f>J37+J86+J90</f>
        <v>249702443</v>
      </c>
      <c r="K92" s="513">
        <f>+I92-J92</f>
        <v>-5980987</v>
      </c>
      <c r="L92" s="142">
        <f t="shared" si="4"/>
        <v>-2.3952456884853146E-2</v>
      </c>
      <c r="M92" s="446"/>
      <c r="N92" s="446"/>
      <c r="Q92" s="458"/>
      <c r="R92" s="458"/>
      <c r="S92" s="458"/>
      <c r="T92" s="458"/>
    </row>
    <row r="93" spans="1:20" s="441" customFormat="1" ht="11.25">
      <c r="A93" s="483" t="s">
        <v>92</v>
      </c>
      <c r="B93" s="484" t="s">
        <v>2764</v>
      </c>
      <c r="C93" s="485"/>
      <c r="D93" s="485"/>
      <c r="E93" s="485"/>
      <c r="F93" s="435"/>
      <c r="G93" s="485"/>
      <c r="H93" s="506"/>
      <c r="I93" s="507"/>
      <c r="J93" s="507"/>
      <c r="K93" s="511"/>
      <c r="L93" s="451"/>
      <c r="M93" s="446"/>
      <c r="Q93" s="458"/>
      <c r="R93" s="458"/>
      <c r="S93" s="458"/>
      <c r="T93" s="458"/>
    </row>
    <row r="94" spans="1:20" s="441" customFormat="1" ht="11.25">
      <c r="A94" s="483"/>
      <c r="B94" s="487" t="s">
        <v>2765</v>
      </c>
      <c r="C94" s="514" t="s">
        <v>2766</v>
      </c>
      <c r="D94" s="487"/>
      <c r="E94" s="487"/>
      <c r="F94" s="493"/>
      <c r="G94" s="485"/>
      <c r="H94" s="506"/>
      <c r="I94" s="497">
        <f>+ROUND('SP Min'!D209,0)</f>
        <v>0</v>
      </c>
      <c r="J94" s="497">
        <f>+ROUND('SP Min'!E209,0)</f>
        <v>0</v>
      </c>
      <c r="K94" s="445">
        <f>+I94-J94</f>
        <v>0</v>
      </c>
      <c r="L94" s="440" t="str">
        <f t="shared" si="4"/>
        <v xml:space="preserve">-    </v>
      </c>
      <c r="M94" s="446"/>
      <c r="Q94" s="458"/>
      <c r="R94" s="458"/>
      <c r="S94" s="458"/>
      <c r="T94" s="458"/>
    </row>
    <row r="95" spans="1:20" s="441" customFormat="1" ht="11.25">
      <c r="A95" s="483"/>
      <c r="B95" s="487" t="s">
        <v>88</v>
      </c>
      <c r="C95" s="493" t="s">
        <v>2767</v>
      </c>
      <c r="D95" s="487"/>
      <c r="E95" s="487"/>
      <c r="F95" s="454"/>
      <c r="G95" s="485"/>
      <c r="H95" s="506"/>
      <c r="I95" s="497">
        <f>+ROUND('SP Min'!D210,0)</f>
        <v>0</v>
      </c>
      <c r="J95" s="497">
        <f>+ROUND('SP Min'!E210,0)</f>
        <v>0</v>
      </c>
      <c r="K95" s="445">
        <f t="shared" ref="K95:K98" si="7">+I95-J95</f>
        <v>0</v>
      </c>
      <c r="L95" s="440" t="str">
        <f t="shared" si="4"/>
        <v xml:space="preserve">-    </v>
      </c>
      <c r="M95" s="446"/>
      <c r="Q95" s="458"/>
      <c r="R95" s="458"/>
      <c r="S95" s="458"/>
      <c r="T95" s="458"/>
    </row>
    <row r="96" spans="1:20" s="441" customFormat="1" ht="11.25">
      <c r="A96" s="483"/>
      <c r="B96" s="493" t="s">
        <v>116</v>
      </c>
      <c r="C96" s="487" t="s">
        <v>2768</v>
      </c>
      <c r="D96" s="487"/>
      <c r="E96" s="487"/>
      <c r="F96" s="454"/>
      <c r="G96" s="485"/>
      <c r="H96" s="506"/>
      <c r="I96" s="497">
        <f>+ROUND('SP Min'!D211,0)</f>
        <v>347397</v>
      </c>
      <c r="J96" s="497">
        <f>+ROUND('SP Min'!E211,0)</f>
        <v>347397</v>
      </c>
      <c r="K96" s="445">
        <f t="shared" si="7"/>
        <v>0</v>
      </c>
      <c r="L96" s="440">
        <f t="shared" si="4"/>
        <v>0</v>
      </c>
      <c r="M96" s="446"/>
      <c r="Q96" s="458"/>
      <c r="R96" s="458"/>
      <c r="S96" s="458"/>
      <c r="T96" s="458"/>
    </row>
    <row r="97" spans="1:20" s="441" customFormat="1" ht="11.25">
      <c r="A97" s="483"/>
      <c r="B97" s="487" t="s">
        <v>2671</v>
      </c>
      <c r="C97" s="514" t="s">
        <v>2769</v>
      </c>
      <c r="D97" s="487"/>
      <c r="E97" s="487"/>
      <c r="F97" s="493"/>
      <c r="G97" s="508"/>
      <c r="H97" s="506"/>
      <c r="I97" s="497">
        <f>+ROUND('SP Min'!D212+'SP Min'!D213,0)</f>
        <v>0</v>
      </c>
      <c r="J97" s="497">
        <f>+ROUND('SP Min'!E212+'SP Min'!E213,0)</f>
        <v>0</v>
      </c>
      <c r="K97" s="445">
        <f t="shared" si="7"/>
        <v>0</v>
      </c>
      <c r="L97" s="440" t="str">
        <f t="shared" si="4"/>
        <v xml:space="preserve">-    </v>
      </c>
      <c r="M97" s="446"/>
      <c r="Q97" s="458"/>
      <c r="R97" s="458"/>
      <c r="S97" s="458"/>
      <c r="T97" s="458"/>
    </row>
    <row r="98" spans="1:20" s="441" customFormat="1" ht="12" thickBot="1">
      <c r="A98" s="862" t="s">
        <v>2770</v>
      </c>
      <c r="B98" s="863"/>
      <c r="C98" s="863"/>
      <c r="D98" s="863"/>
      <c r="E98" s="863"/>
      <c r="F98" s="863"/>
      <c r="G98" s="864"/>
      <c r="H98" s="865"/>
      <c r="I98" s="515">
        <f>SUM(I94:I97)</f>
        <v>347397</v>
      </c>
      <c r="J98" s="515">
        <f>SUM(J94:J97)</f>
        <v>347397</v>
      </c>
      <c r="K98" s="516">
        <f t="shared" si="7"/>
        <v>0</v>
      </c>
      <c r="L98" s="517">
        <f t="shared" si="4"/>
        <v>0</v>
      </c>
      <c r="M98" s="446"/>
      <c r="N98" s="446"/>
      <c r="Q98" s="458"/>
      <c r="R98" s="458"/>
      <c r="S98" s="458"/>
      <c r="T98" s="458"/>
    </row>
    <row r="99" spans="1:20" s="452" customFormat="1" ht="11.25">
      <c r="A99" s="443"/>
      <c r="B99" s="443"/>
      <c r="C99" s="443"/>
      <c r="D99" s="443"/>
      <c r="E99" s="443"/>
      <c r="F99" s="443"/>
      <c r="G99" s="443"/>
      <c r="H99" s="443"/>
      <c r="I99" s="518"/>
      <c r="J99" s="519"/>
      <c r="K99" s="158"/>
      <c r="L99" s="520"/>
      <c r="M99" s="446"/>
      <c r="Q99" s="456"/>
      <c r="R99" s="456"/>
      <c r="S99" s="456"/>
      <c r="T99" s="456"/>
    </row>
    <row r="100" spans="1:20" s="452" customFormat="1" ht="12" thickBot="1">
      <c r="A100" s="521"/>
      <c r="B100" s="521"/>
      <c r="C100" s="521"/>
      <c r="D100" s="521"/>
      <c r="E100" s="521"/>
      <c r="F100" s="489"/>
      <c r="G100" s="522"/>
      <c r="H100" s="522"/>
      <c r="I100" s="418"/>
      <c r="J100" s="418"/>
      <c r="K100" s="522"/>
      <c r="L100" s="523"/>
      <c r="M100" s="446"/>
      <c r="Q100" s="456"/>
      <c r="R100" s="456"/>
      <c r="S100" s="456"/>
      <c r="T100" s="456"/>
    </row>
    <row r="101" spans="1:20" ht="32.25" customHeight="1" thickBot="1">
      <c r="A101" s="866" t="s">
        <v>2771</v>
      </c>
      <c r="B101" s="867"/>
      <c r="C101" s="867"/>
      <c r="D101" s="867"/>
      <c r="E101" s="867"/>
      <c r="F101" s="867"/>
      <c r="G101" s="867"/>
      <c r="H101" s="867"/>
      <c r="I101" s="867"/>
      <c r="J101" s="867"/>
      <c r="K101" s="840" t="s">
        <v>2772</v>
      </c>
      <c r="L101" s="841"/>
      <c r="M101" s="446"/>
    </row>
    <row r="102" spans="1:20" ht="13.5" thickBot="1">
      <c r="A102" s="524"/>
      <c r="B102" s="524"/>
      <c r="C102" s="524"/>
      <c r="D102" s="524"/>
      <c r="E102" s="524"/>
      <c r="F102" s="525"/>
      <c r="G102" s="522"/>
      <c r="H102" s="522"/>
      <c r="I102" s="418"/>
      <c r="J102" s="419"/>
      <c r="K102" s="420"/>
      <c r="L102" s="421"/>
      <c r="M102" s="446"/>
    </row>
    <row r="103" spans="1:20" ht="13.15" customHeight="1">
      <c r="A103" s="868" t="s">
        <v>1823</v>
      </c>
      <c r="B103" s="869"/>
      <c r="C103" s="869"/>
      <c r="D103" s="869"/>
      <c r="E103" s="869"/>
      <c r="F103" s="869"/>
      <c r="G103" s="869"/>
      <c r="H103" s="869"/>
      <c r="I103" s="847" t="s">
        <v>3896</v>
      </c>
      <c r="J103" s="847" t="s">
        <v>2664</v>
      </c>
      <c r="K103" s="849" t="s">
        <v>3897</v>
      </c>
      <c r="L103" s="850"/>
      <c r="M103" s="446"/>
    </row>
    <row r="104" spans="1:20" ht="39.75" customHeight="1">
      <c r="A104" s="870"/>
      <c r="B104" s="871"/>
      <c r="C104" s="871"/>
      <c r="D104" s="871"/>
      <c r="E104" s="871"/>
      <c r="F104" s="871"/>
      <c r="G104" s="872"/>
      <c r="H104" s="871"/>
      <c r="I104" s="848"/>
      <c r="J104" s="848"/>
      <c r="K104" s="422" t="s">
        <v>2</v>
      </c>
      <c r="L104" s="423" t="s">
        <v>3</v>
      </c>
      <c r="M104" s="446"/>
    </row>
    <row r="105" spans="1:20" s="452" customFormat="1" ht="11.25">
      <c r="A105" s="526"/>
      <c r="B105" s="527"/>
      <c r="C105" s="527"/>
      <c r="D105" s="527"/>
      <c r="E105" s="527"/>
      <c r="F105" s="528"/>
      <c r="G105" s="529"/>
      <c r="H105" s="530"/>
      <c r="I105" s="531"/>
      <c r="J105" s="532"/>
      <c r="K105" s="533"/>
      <c r="L105" s="534"/>
      <c r="M105" s="446"/>
      <c r="Q105" s="456"/>
      <c r="R105" s="456"/>
      <c r="S105" s="456"/>
      <c r="T105" s="456"/>
    </row>
    <row r="106" spans="1:20" s="441" customFormat="1" ht="11.25">
      <c r="A106" s="432" t="s">
        <v>4</v>
      </c>
      <c r="B106" s="161" t="s">
        <v>2773</v>
      </c>
      <c r="C106" s="434"/>
      <c r="D106" s="434"/>
      <c r="E106" s="434"/>
      <c r="F106" s="435"/>
      <c r="G106" s="436"/>
      <c r="H106" s="173"/>
      <c r="I106" s="535"/>
      <c r="J106" s="500"/>
      <c r="K106" s="177"/>
      <c r="L106" s="536"/>
      <c r="M106" s="446"/>
      <c r="Q106" s="458"/>
      <c r="R106" s="458"/>
      <c r="S106" s="458"/>
      <c r="T106" s="458"/>
    </row>
    <row r="107" spans="1:20" s="441" customFormat="1" ht="11.25">
      <c r="A107" s="432"/>
      <c r="B107" s="434"/>
      <c r="C107" s="434"/>
      <c r="D107" s="434"/>
      <c r="E107" s="434"/>
      <c r="F107" s="443"/>
      <c r="G107" s="436"/>
      <c r="H107" s="173"/>
      <c r="I107" s="535"/>
      <c r="J107" s="500"/>
      <c r="K107" s="445"/>
      <c r="L107" s="536"/>
      <c r="M107" s="446"/>
      <c r="Q107" s="458"/>
      <c r="R107" s="458"/>
      <c r="S107" s="458"/>
      <c r="T107" s="458"/>
    </row>
    <row r="108" spans="1:20" s="441" customFormat="1" ht="11.25">
      <c r="A108" s="442"/>
      <c r="B108" s="434" t="s">
        <v>2666</v>
      </c>
      <c r="C108" s="443" t="s">
        <v>2774</v>
      </c>
      <c r="D108" s="434"/>
      <c r="E108" s="434"/>
      <c r="F108" s="435"/>
      <c r="G108" s="436"/>
      <c r="H108" s="173"/>
      <c r="I108" s="500">
        <f>+ROUND('SP Min'!D215,0)</f>
        <v>0</v>
      </c>
      <c r="J108" s="500">
        <f>+ROUND('SP Min'!E215,0)</f>
        <v>0</v>
      </c>
      <c r="K108" s="511">
        <f>+I108-J108</f>
        <v>0</v>
      </c>
      <c r="L108" s="451" t="str">
        <f t="shared" ref="L108:L167" si="8">IF(J108=0,"-    ",K108/J108)</f>
        <v xml:space="preserve">-    </v>
      </c>
      <c r="M108" s="446"/>
      <c r="N108" s="537"/>
      <c r="Q108" s="458"/>
      <c r="R108" s="458"/>
      <c r="S108" s="458"/>
      <c r="T108" s="458"/>
    </row>
    <row r="109" spans="1:20" s="441" customFormat="1" ht="11.25">
      <c r="A109" s="442"/>
      <c r="B109" s="434" t="s">
        <v>2675</v>
      </c>
      <c r="C109" s="538" t="s">
        <v>2775</v>
      </c>
      <c r="D109" s="434"/>
      <c r="E109" s="434"/>
      <c r="F109" s="539"/>
      <c r="G109" s="436"/>
      <c r="H109" s="173"/>
      <c r="I109" s="444">
        <f>I110+I111+SUM(I115:I117)</f>
        <v>12693434</v>
      </c>
      <c r="J109" s="500">
        <f>J110+J111+SUM(J115:J117)</f>
        <v>808959</v>
      </c>
      <c r="K109" s="511">
        <f>+I109-J109</f>
        <v>11884475</v>
      </c>
      <c r="L109" s="451">
        <f t="shared" si="8"/>
        <v>14.691072106250131</v>
      </c>
      <c r="M109" s="446"/>
      <c r="Q109" s="458"/>
      <c r="R109" s="458"/>
      <c r="S109" s="458"/>
      <c r="T109" s="458"/>
    </row>
    <row r="110" spans="1:20" s="452" customFormat="1" ht="11.25">
      <c r="A110" s="453"/>
      <c r="B110" s="434"/>
      <c r="C110" s="487" t="s">
        <v>86</v>
      </c>
      <c r="D110" s="487" t="s">
        <v>2776</v>
      </c>
      <c r="E110" s="485"/>
      <c r="F110" s="448"/>
      <c r="G110" s="449"/>
      <c r="H110" s="172"/>
      <c r="I110" s="455">
        <f>+ROUND('SP Min'!D217,0)</f>
        <v>0</v>
      </c>
      <c r="J110" s="497">
        <f>+ROUND('SP Min'!E217,0)</f>
        <v>0</v>
      </c>
      <c r="K110" s="511">
        <f t="shared" ref="K110:K167" si="9">+I110-J110</f>
        <v>0</v>
      </c>
      <c r="L110" s="451" t="str">
        <f t="shared" si="8"/>
        <v xml:space="preserve">-    </v>
      </c>
      <c r="M110" s="446"/>
      <c r="Q110" s="456"/>
      <c r="R110" s="456"/>
      <c r="S110" s="456"/>
      <c r="T110" s="456"/>
    </row>
    <row r="111" spans="1:20" s="452" customFormat="1" ht="11.25">
      <c r="A111" s="453"/>
      <c r="B111" s="434"/>
      <c r="C111" s="487" t="s">
        <v>88</v>
      </c>
      <c r="D111" s="487" t="s">
        <v>2777</v>
      </c>
      <c r="E111" s="485"/>
      <c r="F111" s="448"/>
      <c r="G111" s="449"/>
      <c r="H111" s="172"/>
      <c r="I111" s="455">
        <f>SUM(I112:I114)</f>
        <v>0</v>
      </c>
      <c r="J111" s="497">
        <f>SUM(J112:J114)</f>
        <v>0</v>
      </c>
      <c r="K111" s="511">
        <f t="shared" si="9"/>
        <v>0</v>
      </c>
      <c r="L111" s="451" t="str">
        <f t="shared" si="8"/>
        <v xml:space="preserve">-    </v>
      </c>
      <c r="M111" s="446"/>
      <c r="Q111" s="456"/>
      <c r="R111" s="456"/>
      <c r="S111" s="456"/>
      <c r="T111" s="456"/>
    </row>
    <row r="112" spans="1:20" s="452" customFormat="1" ht="11.25">
      <c r="A112" s="453"/>
      <c r="B112" s="485"/>
      <c r="C112" s="487"/>
      <c r="D112" s="491" t="s">
        <v>2778</v>
      </c>
      <c r="E112" s="491" t="s">
        <v>2779</v>
      </c>
      <c r="F112" s="493"/>
      <c r="G112" s="487"/>
      <c r="H112" s="487"/>
      <c r="I112" s="455">
        <f>+ROUND('SP Min'!D219,0)</f>
        <v>0</v>
      </c>
      <c r="J112" s="497">
        <f>+ROUND('SP Min'!E219,0)</f>
        <v>0</v>
      </c>
      <c r="K112" s="511">
        <f t="shared" si="9"/>
        <v>0</v>
      </c>
      <c r="L112" s="451" t="str">
        <f t="shared" si="8"/>
        <v xml:space="preserve">-    </v>
      </c>
      <c r="M112" s="446"/>
      <c r="Q112" s="456"/>
      <c r="R112" s="456"/>
      <c r="S112" s="456"/>
      <c r="T112" s="456"/>
    </row>
    <row r="113" spans="1:20" s="452" customFormat="1" ht="11.25">
      <c r="A113" s="453"/>
      <c r="B113" s="485"/>
      <c r="C113" s="487"/>
      <c r="D113" s="491" t="s">
        <v>2680</v>
      </c>
      <c r="E113" s="491" t="s">
        <v>2780</v>
      </c>
      <c r="F113" s="493"/>
      <c r="G113" s="487"/>
      <c r="H113" s="487"/>
      <c r="I113" s="455">
        <f>+ROUND('SP Min'!D220,0)</f>
        <v>0</v>
      </c>
      <c r="J113" s="497">
        <f>+ROUND('SP Min'!E220,0)</f>
        <v>0</v>
      </c>
      <c r="K113" s="511">
        <f t="shared" si="9"/>
        <v>0</v>
      </c>
      <c r="L113" s="451" t="str">
        <f t="shared" si="8"/>
        <v xml:space="preserve">-    </v>
      </c>
      <c r="M113" s="446"/>
      <c r="Q113" s="456"/>
      <c r="R113" s="456"/>
      <c r="S113" s="456"/>
      <c r="T113" s="456"/>
    </row>
    <row r="114" spans="1:20" s="452" customFormat="1" ht="11.25">
      <c r="A114" s="453"/>
      <c r="B114" s="485"/>
      <c r="C114" s="487"/>
      <c r="D114" s="491" t="s">
        <v>2781</v>
      </c>
      <c r="E114" s="491" t="s">
        <v>2782</v>
      </c>
      <c r="F114" s="493"/>
      <c r="G114" s="487"/>
      <c r="H114" s="487"/>
      <c r="I114" s="455">
        <f>+ROUND('SP Min'!D221,0)</f>
        <v>0</v>
      </c>
      <c r="J114" s="497">
        <f>+ROUND('SP Min'!E221,0)</f>
        <v>0</v>
      </c>
      <c r="K114" s="511">
        <f t="shared" si="9"/>
        <v>0</v>
      </c>
      <c r="L114" s="451" t="str">
        <f t="shared" si="8"/>
        <v xml:space="preserve">-    </v>
      </c>
      <c r="M114" s="446"/>
      <c r="Q114" s="456"/>
      <c r="R114" s="456"/>
      <c r="S114" s="456"/>
      <c r="T114" s="456"/>
    </row>
    <row r="115" spans="1:20" s="452" customFormat="1" ht="11.25">
      <c r="A115" s="453"/>
      <c r="B115" s="485"/>
      <c r="C115" s="468" t="s">
        <v>116</v>
      </c>
      <c r="D115" s="468" t="s">
        <v>2783</v>
      </c>
      <c r="E115" s="487"/>
      <c r="F115" s="493"/>
      <c r="G115" s="487"/>
      <c r="H115" s="487"/>
      <c r="I115" s="455">
        <f>+ROUND('SP Min'!D222,0)</f>
        <v>12691552</v>
      </c>
      <c r="J115" s="497">
        <f>+ROUND('SP Min'!E222,0)</f>
        <v>807077</v>
      </c>
      <c r="K115" s="511">
        <f t="shared" si="9"/>
        <v>11884475</v>
      </c>
      <c r="L115" s="451">
        <f t="shared" si="8"/>
        <v>14.72532980124573</v>
      </c>
      <c r="M115" s="446"/>
      <c r="Q115" s="456"/>
      <c r="R115" s="456"/>
      <c r="S115" s="456"/>
      <c r="T115" s="456"/>
    </row>
    <row r="116" spans="1:20" s="452" customFormat="1" ht="11.25">
      <c r="A116" s="453"/>
      <c r="B116" s="485"/>
      <c r="C116" s="468" t="s">
        <v>2671</v>
      </c>
      <c r="D116" s="468" t="s">
        <v>2784</v>
      </c>
      <c r="E116" s="487"/>
      <c r="F116" s="493"/>
      <c r="G116" s="487"/>
      <c r="H116" s="487"/>
      <c r="I116" s="455">
        <f>+ROUND('SP Min'!D223,0)</f>
        <v>1882</v>
      </c>
      <c r="J116" s="497">
        <f>+ROUND('SP Min'!E223,0)</f>
        <v>1882</v>
      </c>
      <c r="K116" s="511">
        <f t="shared" si="9"/>
        <v>0</v>
      </c>
      <c r="L116" s="451">
        <f t="shared" si="8"/>
        <v>0</v>
      </c>
      <c r="M116" s="446"/>
      <c r="Q116" s="456"/>
      <c r="R116" s="456"/>
      <c r="S116" s="456"/>
      <c r="T116" s="456"/>
    </row>
    <row r="117" spans="1:20" s="452" customFormat="1" ht="11.25">
      <c r="A117" s="453"/>
      <c r="B117" s="434"/>
      <c r="C117" s="468" t="s">
        <v>2673</v>
      </c>
      <c r="D117" s="468" t="s">
        <v>2785</v>
      </c>
      <c r="E117" s="434"/>
      <c r="F117" s="448"/>
      <c r="G117" s="449"/>
      <c r="H117" s="172"/>
      <c r="I117" s="455">
        <f>+ROUND('SP Min'!D224,0)</f>
        <v>0</v>
      </c>
      <c r="J117" s="497">
        <f>+ROUND('SP Min'!E224,0)</f>
        <v>0</v>
      </c>
      <c r="K117" s="511">
        <f t="shared" si="9"/>
        <v>0</v>
      </c>
      <c r="L117" s="451" t="str">
        <f t="shared" si="8"/>
        <v xml:space="preserve">-    </v>
      </c>
      <c r="M117" s="446"/>
      <c r="Q117" s="456"/>
      <c r="R117" s="456"/>
      <c r="S117" s="456"/>
      <c r="T117" s="456"/>
    </row>
    <row r="118" spans="1:20" s="441" customFormat="1" ht="11.25">
      <c r="A118" s="442"/>
      <c r="B118" s="538" t="s">
        <v>2698</v>
      </c>
      <c r="C118" s="538" t="s">
        <v>2786</v>
      </c>
      <c r="D118" s="434"/>
      <c r="E118" s="434"/>
      <c r="F118" s="539"/>
      <c r="G118" s="436"/>
      <c r="H118" s="173"/>
      <c r="I118" s="444">
        <f>+ROUND('SP Min'!D225,0)</f>
        <v>0</v>
      </c>
      <c r="J118" s="500">
        <f>+ROUND('SP Min'!E225,0)</f>
        <v>0</v>
      </c>
      <c r="K118" s="511">
        <f t="shared" si="9"/>
        <v>0</v>
      </c>
      <c r="L118" s="451" t="str">
        <f t="shared" si="8"/>
        <v xml:space="preserve">-    </v>
      </c>
      <c r="M118" s="446"/>
      <c r="Q118" s="458"/>
      <c r="R118" s="458"/>
      <c r="S118" s="458"/>
      <c r="T118" s="458"/>
    </row>
    <row r="119" spans="1:20" s="441" customFormat="1" ht="11.25">
      <c r="A119" s="442"/>
      <c r="B119" s="538" t="s">
        <v>2752</v>
      </c>
      <c r="C119" s="443" t="s">
        <v>2787</v>
      </c>
      <c r="D119" s="434"/>
      <c r="E119" s="434"/>
      <c r="F119" s="539"/>
      <c r="G119" s="436"/>
      <c r="H119" s="173"/>
      <c r="I119" s="444">
        <f>+ROUND('SP Min'!D226,0)</f>
        <v>6531698</v>
      </c>
      <c r="J119" s="444">
        <f>+ROUND('SP Min'!E226,0)</f>
        <v>3656737</v>
      </c>
      <c r="K119" s="511">
        <f t="shared" si="9"/>
        <v>2874961</v>
      </c>
      <c r="L119" s="451">
        <f t="shared" si="8"/>
        <v>0.78620939925403444</v>
      </c>
      <c r="M119" s="446"/>
      <c r="Q119" s="458"/>
      <c r="R119" s="458"/>
      <c r="S119" s="458"/>
      <c r="T119" s="458"/>
    </row>
    <row r="120" spans="1:20" s="441" customFormat="1" ht="11.25">
      <c r="A120" s="442"/>
      <c r="B120" s="538" t="s">
        <v>2788</v>
      </c>
      <c r="C120" s="443" t="s">
        <v>2789</v>
      </c>
      <c r="D120" s="434"/>
      <c r="E120" s="434"/>
      <c r="F120" s="435"/>
      <c r="G120" s="436"/>
      <c r="H120" s="173"/>
      <c r="I120" s="500">
        <f>+ROUND('SP Min'!D232,0)</f>
        <v>0</v>
      </c>
      <c r="J120" s="500">
        <f>+ROUND('SP Min'!E232,0)</f>
        <v>0</v>
      </c>
      <c r="K120" s="511">
        <f t="shared" si="9"/>
        <v>0</v>
      </c>
      <c r="L120" s="451" t="str">
        <f t="shared" si="8"/>
        <v xml:space="preserve">-    </v>
      </c>
      <c r="M120" s="446"/>
      <c r="Q120" s="458"/>
      <c r="R120" s="458"/>
      <c r="S120" s="458"/>
      <c r="T120" s="458"/>
    </row>
    <row r="121" spans="1:20" s="441" customFormat="1" ht="11.25">
      <c r="A121" s="442"/>
      <c r="B121" s="538" t="s">
        <v>2790</v>
      </c>
      <c r="C121" s="443" t="s">
        <v>2791</v>
      </c>
      <c r="D121" s="434"/>
      <c r="E121" s="434"/>
      <c r="F121" s="539"/>
      <c r="G121" s="436"/>
      <c r="H121" s="173"/>
      <c r="I121" s="500">
        <f>+ROUND('SP Min'!D236,0)</f>
        <v>0</v>
      </c>
      <c r="J121" s="500">
        <f>+ROUND('SP Min'!E236,0)</f>
        <v>0</v>
      </c>
      <c r="K121" s="511">
        <f t="shared" si="9"/>
        <v>0</v>
      </c>
      <c r="L121" s="451" t="str">
        <f t="shared" si="8"/>
        <v xml:space="preserve">-    </v>
      </c>
      <c r="M121" s="446"/>
      <c r="Q121" s="458"/>
      <c r="R121" s="458"/>
      <c r="S121" s="458"/>
      <c r="T121" s="458"/>
    </row>
    <row r="122" spans="1:20" s="441" customFormat="1" ht="11.25">
      <c r="A122" s="442"/>
      <c r="B122" s="538" t="s">
        <v>2792</v>
      </c>
      <c r="C122" s="443" t="s">
        <v>2793</v>
      </c>
      <c r="D122" s="434"/>
      <c r="E122" s="434"/>
      <c r="F122" s="539"/>
      <c r="G122" s="436"/>
      <c r="H122" s="173"/>
      <c r="I122" s="500">
        <f>'Schema CE'!D120</f>
        <v>847307</v>
      </c>
      <c r="J122" s="500">
        <f>'Schema CE'!E120</f>
        <v>2874961</v>
      </c>
      <c r="K122" s="511">
        <f t="shared" si="9"/>
        <v>-2027654</v>
      </c>
      <c r="L122" s="540">
        <f t="shared" si="8"/>
        <v>-0.70528052380536643</v>
      </c>
      <c r="M122" s="446"/>
      <c r="Q122" s="458"/>
      <c r="R122" s="458"/>
      <c r="S122" s="458"/>
      <c r="T122" s="458"/>
    </row>
    <row r="123" spans="1:20" s="441" customFormat="1" ht="11.25">
      <c r="A123" s="853" t="s">
        <v>2710</v>
      </c>
      <c r="B123" s="854"/>
      <c r="C123" s="854"/>
      <c r="D123" s="854"/>
      <c r="E123" s="854"/>
      <c r="F123" s="854"/>
      <c r="G123" s="873"/>
      <c r="H123" s="854"/>
      <c r="I123" s="477">
        <f>I108+I109+SUM(I118:I122)</f>
        <v>20072439</v>
      </c>
      <c r="J123" s="477">
        <f>J108+J109+SUM(J118:J122)</f>
        <v>7340657</v>
      </c>
      <c r="K123" s="541">
        <f t="shared" si="9"/>
        <v>12731782</v>
      </c>
      <c r="L123" s="141">
        <f t="shared" si="8"/>
        <v>1.7344199572327108</v>
      </c>
      <c r="M123" s="446"/>
      <c r="Q123" s="458"/>
      <c r="R123" s="458"/>
      <c r="S123" s="458"/>
      <c r="T123" s="458"/>
    </row>
    <row r="124" spans="1:20" s="441" customFormat="1" ht="11.25">
      <c r="A124" s="542" t="s">
        <v>33</v>
      </c>
      <c r="B124" s="161" t="s">
        <v>2794</v>
      </c>
      <c r="C124" s="538"/>
      <c r="D124" s="434"/>
      <c r="E124" s="434"/>
      <c r="F124" s="435"/>
      <c r="G124" s="543"/>
      <c r="H124" s="173"/>
      <c r="I124" s="480"/>
      <c r="J124" s="480"/>
      <c r="K124" s="445">
        <f t="shared" si="9"/>
        <v>0</v>
      </c>
      <c r="L124" s="150" t="str">
        <f t="shared" si="8"/>
        <v xml:space="preserve">-    </v>
      </c>
      <c r="M124" s="446"/>
      <c r="Q124" s="458"/>
      <c r="R124" s="458"/>
      <c r="S124" s="458"/>
      <c r="T124" s="458"/>
    </row>
    <row r="125" spans="1:20" s="441" customFormat="1" ht="11.25">
      <c r="A125" s="542"/>
      <c r="B125" s="538" t="s">
        <v>86</v>
      </c>
      <c r="C125" s="161" t="s">
        <v>2795</v>
      </c>
      <c r="D125" s="434"/>
      <c r="E125" s="434"/>
      <c r="F125" s="435"/>
      <c r="G125" s="436"/>
      <c r="H125" s="173"/>
      <c r="I125" s="500">
        <f>+ROUND('SP Min'!D239,0)</f>
        <v>0</v>
      </c>
      <c r="J125" s="500">
        <f>+ROUND('SP Min'!E239,0)</f>
        <v>0</v>
      </c>
      <c r="K125" s="511">
        <f t="shared" si="9"/>
        <v>0</v>
      </c>
      <c r="L125" s="451" t="str">
        <f t="shared" si="8"/>
        <v xml:space="preserve">-    </v>
      </c>
      <c r="M125" s="446"/>
      <c r="Q125" s="458"/>
      <c r="R125" s="458"/>
      <c r="S125" s="458"/>
      <c r="T125" s="458"/>
    </row>
    <row r="126" spans="1:20" s="441" customFormat="1" ht="11.25">
      <c r="A126" s="542"/>
      <c r="B126" s="538" t="s">
        <v>88</v>
      </c>
      <c r="C126" s="161" t="s">
        <v>2796</v>
      </c>
      <c r="D126" s="434"/>
      <c r="E126" s="434"/>
      <c r="F126" s="443"/>
      <c r="G126" s="436"/>
      <c r="H126" s="173"/>
      <c r="I126" s="500">
        <f>+ROUND('SP Min'!D240,0)</f>
        <v>47327221</v>
      </c>
      <c r="J126" s="500">
        <f>+ROUND('SP Min'!E240,0)</f>
        <v>50103982</v>
      </c>
      <c r="K126" s="511">
        <f t="shared" si="9"/>
        <v>-2776761</v>
      </c>
      <c r="L126" s="451">
        <f t="shared" si="8"/>
        <v>-5.5419966421032162E-2</v>
      </c>
      <c r="M126" s="446"/>
      <c r="Q126" s="458"/>
      <c r="R126" s="458"/>
      <c r="S126" s="458"/>
      <c r="T126" s="458"/>
    </row>
    <row r="127" spans="1:20" s="441" customFormat="1" ht="11.25">
      <c r="A127" s="542"/>
      <c r="B127" s="538" t="s">
        <v>116</v>
      </c>
      <c r="C127" s="161" t="s">
        <v>2797</v>
      </c>
      <c r="D127" s="434"/>
      <c r="E127" s="434"/>
      <c r="F127" s="435"/>
      <c r="G127" s="436"/>
      <c r="H127" s="173"/>
      <c r="I127" s="500">
        <f>+ROUND('SP Min'!D248,0)</f>
        <v>0</v>
      </c>
      <c r="J127" s="500">
        <f>+ROUND('SP Min'!E248,0)</f>
        <v>0</v>
      </c>
      <c r="K127" s="511">
        <f t="shared" si="9"/>
        <v>0</v>
      </c>
      <c r="L127" s="451" t="str">
        <f t="shared" si="8"/>
        <v xml:space="preserve">-    </v>
      </c>
      <c r="M127" s="446"/>
      <c r="Q127" s="458"/>
      <c r="R127" s="458"/>
      <c r="S127" s="458"/>
      <c r="T127" s="458"/>
    </row>
    <row r="128" spans="1:20" s="441" customFormat="1" ht="11.25">
      <c r="A128" s="542"/>
      <c r="B128" s="538" t="s">
        <v>2671</v>
      </c>
      <c r="C128" s="538" t="s">
        <v>2798</v>
      </c>
      <c r="D128" s="434"/>
      <c r="E128" s="434"/>
      <c r="F128" s="443"/>
      <c r="G128" s="436"/>
      <c r="H128" s="173"/>
      <c r="I128" s="444">
        <f>+ROUND('SP Min'!D257,0)</f>
        <v>38325656</v>
      </c>
      <c r="J128" s="500">
        <f>+ROUND('SP Min'!E257,0)</f>
        <v>19161980</v>
      </c>
      <c r="K128" s="511">
        <f t="shared" si="9"/>
        <v>19163676</v>
      </c>
      <c r="L128" s="451">
        <f t="shared" si="8"/>
        <v>1.0000885085987983</v>
      </c>
      <c r="M128" s="446"/>
      <c r="Q128" s="458"/>
      <c r="R128" s="458"/>
      <c r="S128" s="458"/>
      <c r="T128" s="458"/>
    </row>
    <row r="129" spans="1:20" s="441" customFormat="1" ht="11.25">
      <c r="A129" s="542"/>
      <c r="B129" s="538" t="s">
        <v>2673</v>
      </c>
      <c r="C129" s="538" t="s">
        <v>2799</v>
      </c>
      <c r="D129" s="434"/>
      <c r="E129" s="434"/>
      <c r="F129" s="443"/>
      <c r="G129" s="544"/>
      <c r="H129" s="173"/>
      <c r="I129" s="444">
        <f>+ROUND('SP Min'!D263,0)</f>
        <v>3108852</v>
      </c>
      <c r="J129" s="500">
        <f>+ROUND('SP Min'!E263,0)</f>
        <v>2948558</v>
      </c>
      <c r="K129" s="511">
        <f t="shared" si="9"/>
        <v>160294</v>
      </c>
      <c r="L129" s="451">
        <f t="shared" si="8"/>
        <v>5.4363522779609555E-2</v>
      </c>
      <c r="M129" s="446"/>
      <c r="Q129" s="458"/>
      <c r="R129" s="458"/>
      <c r="S129" s="458"/>
      <c r="T129" s="458"/>
    </row>
    <row r="130" spans="1:20" s="441" customFormat="1" ht="11.25">
      <c r="A130" s="856" t="s">
        <v>2758</v>
      </c>
      <c r="B130" s="857"/>
      <c r="C130" s="857"/>
      <c r="D130" s="857"/>
      <c r="E130" s="857"/>
      <c r="F130" s="857"/>
      <c r="G130" s="874"/>
      <c r="H130" s="857"/>
      <c r="I130" s="477">
        <f>SUM(I125:I129)</f>
        <v>88761729</v>
      </c>
      <c r="J130" s="477">
        <f>SUM(J125:J129)</f>
        <v>72214520</v>
      </c>
      <c r="K130" s="541">
        <f t="shared" si="9"/>
        <v>16547209</v>
      </c>
      <c r="L130" s="141">
        <f t="shared" si="8"/>
        <v>0.22913963839959056</v>
      </c>
      <c r="M130" s="446"/>
      <c r="Q130" s="458"/>
      <c r="R130" s="458"/>
      <c r="S130" s="458"/>
      <c r="T130" s="458"/>
    </row>
    <row r="131" spans="1:20" s="441" customFormat="1" ht="11.25">
      <c r="A131" s="542" t="s">
        <v>84</v>
      </c>
      <c r="B131" s="538" t="s">
        <v>2800</v>
      </c>
      <c r="C131" s="538"/>
      <c r="D131" s="434"/>
      <c r="E131" s="434"/>
      <c r="F131" s="443"/>
      <c r="G131" s="543"/>
      <c r="H131" s="173"/>
      <c r="I131" s="500"/>
      <c r="J131" s="500"/>
      <c r="K131" s="445">
        <f t="shared" si="9"/>
        <v>0</v>
      </c>
      <c r="L131" s="150" t="str">
        <f t="shared" si="8"/>
        <v xml:space="preserve">-    </v>
      </c>
      <c r="M131" s="446"/>
      <c r="Q131" s="458"/>
      <c r="R131" s="458"/>
      <c r="S131" s="458"/>
      <c r="T131" s="458"/>
    </row>
    <row r="132" spans="1:20" s="441" customFormat="1" ht="11.25">
      <c r="A132" s="542"/>
      <c r="B132" s="538" t="s">
        <v>86</v>
      </c>
      <c r="C132" s="538" t="s">
        <v>2801</v>
      </c>
      <c r="D132" s="434"/>
      <c r="E132" s="434"/>
      <c r="F132" s="443"/>
      <c r="G132" s="436"/>
      <c r="H132" s="173"/>
      <c r="I132" s="500">
        <f>+ROUND('SP Min'!D272,0)</f>
        <v>0</v>
      </c>
      <c r="J132" s="500">
        <f>+ROUND('SP Min'!E272,0)</f>
        <v>0</v>
      </c>
      <c r="K132" s="511">
        <f t="shared" si="9"/>
        <v>0</v>
      </c>
      <c r="L132" s="451" t="str">
        <f t="shared" si="8"/>
        <v xml:space="preserve">-    </v>
      </c>
      <c r="M132" s="446"/>
      <c r="Q132" s="458"/>
      <c r="R132" s="458"/>
      <c r="S132" s="458"/>
      <c r="T132" s="458"/>
    </row>
    <row r="133" spans="1:20" s="441" customFormat="1" ht="11.25">
      <c r="A133" s="542"/>
      <c r="B133" s="538" t="s">
        <v>88</v>
      </c>
      <c r="C133" s="538" t="s">
        <v>2802</v>
      </c>
      <c r="D133" s="434"/>
      <c r="E133" s="434"/>
      <c r="F133" s="443"/>
      <c r="G133" s="544"/>
      <c r="H133" s="173"/>
      <c r="I133" s="500">
        <f>+ROUND('SP Min'!D273+'SP Min'!D274,0)</f>
        <v>0</v>
      </c>
      <c r="J133" s="500">
        <f>+ROUND('SP Min'!E273+'SP Min'!E274,0)</f>
        <v>0</v>
      </c>
      <c r="K133" s="511">
        <f t="shared" si="9"/>
        <v>0</v>
      </c>
      <c r="L133" s="451" t="str">
        <f t="shared" si="8"/>
        <v xml:space="preserve">-    </v>
      </c>
      <c r="M133" s="446"/>
      <c r="Q133" s="458"/>
      <c r="R133" s="458"/>
      <c r="S133" s="458"/>
      <c r="T133" s="458"/>
    </row>
    <row r="134" spans="1:20" s="441" customFormat="1" ht="11.25">
      <c r="A134" s="856" t="s">
        <v>2762</v>
      </c>
      <c r="B134" s="857"/>
      <c r="C134" s="857"/>
      <c r="D134" s="857"/>
      <c r="E134" s="857"/>
      <c r="F134" s="857"/>
      <c r="G134" s="859"/>
      <c r="H134" s="857"/>
      <c r="I134" s="477">
        <f>SUM(I132:I133)</f>
        <v>0</v>
      </c>
      <c r="J134" s="477">
        <f>SUM(J132:J133)</f>
        <v>0</v>
      </c>
      <c r="K134" s="541">
        <f t="shared" si="9"/>
        <v>0</v>
      </c>
      <c r="L134" s="141" t="str">
        <f t="shared" si="8"/>
        <v xml:space="preserve">-    </v>
      </c>
      <c r="M134" s="446"/>
      <c r="Q134" s="458"/>
      <c r="R134" s="458"/>
      <c r="S134" s="458"/>
      <c r="T134" s="458"/>
    </row>
    <row r="135" spans="1:20" s="441" customFormat="1" ht="11.25">
      <c r="A135" s="545" t="s">
        <v>92</v>
      </c>
      <c r="B135" s="161" t="s">
        <v>2803</v>
      </c>
      <c r="C135" s="546"/>
      <c r="D135" s="546"/>
      <c r="E135" s="546"/>
      <c r="F135" s="435"/>
      <c r="G135" s="435"/>
      <c r="H135" s="435"/>
      <c r="I135" s="547"/>
      <c r="J135" s="547"/>
      <c r="K135" s="445">
        <f t="shared" si="9"/>
        <v>0</v>
      </c>
      <c r="L135" s="150" t="str">
        <f t="shared" si="8"/>
        <v xml:space="preserve">-    </v>
      </c>
      <c r="M135" s="446"/>
      <c r="Q135" s="458"/>
      <c r="R135" s="458"/>
      <c r="S135" s="458"/>
      <c r="T135" s="458"/>
    </row>
    <row r="136" spans="1:20" s="441" customFormat="1" ht="11.25">
      <c r="A136" s="432"/>
      <c r="B136" s="434"/>
      <c r="C136" s="434"/>
      <c r="D136" s="434"/>
      <c r="E136" s="434"/>
      <c r="F136" s="161"/>
      <c r="G136" s="548" t="s">
        <v>2696</v>
      </c>
      <c r="H136" s="549" t="s">
        <v>2697</v>
      </c>
      <c r="I136" s="550"/>
      <c r="J136" s="550"/>
      <c r="K136" s="445">
        <f t="shared" si="9"/>
        <v>0</v>
      </c>
      <c r="L136" s="150" t="str">
        <f t="shared" si="8"/>
        <v xml:space="preserve">-    </v>
      </c>
      <c r="M136" s="446"/>
      <c r="Q136" s="458"/>
      <c r="R136" s="458"/>
      <c r="S136" s="458"/>
      <c r="T136" s="458"/>
    </row>
    <row r="137" spans="1:20" s="441" customFormat="1" ht="11.25">
      <c r="A137" s="432"/>
      <c r="B137" s="538" t="s">
        <v>86</v>
      </c>
      <c r="C137" s="161" t="s">
        <v>2804</v>
      </c>
      <c r="D137" s="434"/>
      <c r="E137" s="434"/>
      <c r="F137" s="161"/>
      <c r="G137" s="177"/>
      <c r="H137" s="173"/>
      <c r="I137" s="500">
        <f>+ROUND('SP Min'!D276,0)</f>
        <v>0</v>
      </c>
      <c r="J137" s="500">
        <f>+ROUND('SP Min'!E276,0)</f>
        <v>0</v>
      </c>
      <c r="K137" s="511">
        <f t="shared" si="9"/>
        <v>0</v>
      </c>
      <c r="L137" s="451" t="str">
        <f t="shared" si="8"/>
        <v xml:space="preserve">-    </v>
      </c>
      <c r="M137" s="446"/>
      <c r="Q137" s="458"/>
      <c r="R137" s="458"/>
      <c r="S137" s="458"/>
      <c r="T137" s="458"/>
    </row>
    <row r="138" spans="1:20" s="441" customFormat="1" ht="11.25">
      <c r="A138" s="432"/>
      <c r="B138" s="538" t="s">
        <v>88</v>
      </c>
      <c r="C138" s="551" t="s">
        <v>2805</v>
      </c>
      <c r="D138" s="434"/>
      <c r="E138" s="434"/>
      <c r="F138" s="435"/>
      <c r="G138" s="177"/>
      <c r="H138" s="177"/>
      <c r="I138" s="500">
        <f>+ROUND('SP Min'!D277,0)</f>
        <v>7747</v>
      </c>
      <c r="J138" s="500">
        <f>+ROUND('SP Min'!E277,0)</f>
        <v>7747</v>
      </c>
      <c r="K138" s="511">
        <f t="shared" si="9"/>
        <v>0</v>
      </c>
      <c r="L138" s="451">
        <f t="shared" si="8"/>
        <v>0</v>
      </c>
      <c r="M138" s="446"/>
      <c r="Q138" s="458"/>
      <c r="R138" s="458"/>
      <c r="S138" s="458"/>
      <c r="T138" s="458"/>
    </row>
    <row r="139" spans="1:20" s="441" customFormat="1" ht="11.25">
      <c r="A139" s="432"/>
      <c r="B139" s="538" t="s">
        <v>116</v>
      </c>
      <c r="C139" s="161" t="s">
        <v>2806</v>
      </c>
      <c r="D139" s="434"/>
      <c r="E139" s="434"/>
      <c r="F139" s="435"/>
      <c r="G139" s="552"/>
      <c r="H139" s="162"/>
      <c r="I139" s="500">
        <f>+ROUND('SP Min'!D283,0)</f>
        <v>2020052</v>
      </c>
      <c r="J139" s="500">
        <f>+ROUND('SP Min'!E283,0)</f>
        <v>2020588</v>
      </c>
      <c r="K139" s="511">
        <f t="shared" si="9"/>
        <v>-536</v>
      </c>
      <c r="L139" s="451">
        <f t="shared" si="8"/>
        <v>-2.6526931764417089E-4</v>
      </c>
      <c r="M139" s="446"/>
      <c r="Q139" s="458"/>
      <c r="R139" s="458"/>
      <c r="S139" s="458"/>
      <c r="T139" s="458"/>
    </row>
    <row r="140" spans="1:20" s="441" customFormat="1" ht="11.25">
      <c r="A140" s="432"/>
      <c r="B140" s="538" t="s">
        <v>2671</v>
      </c>
      <c r="C140" s="551" t="s">
        <v>2807</v>
      </c>
      <c r="D140" s="434"/>
      <c r="E140" s="434"/>
      <c r="F140" s="161"/>
      <c r="G140" s="552"/>
      <c r="H140" s="472"/>
      <c r="I140" s="500">
        <f>+ROUND('SP Min'!D294,0)</f>
        <v>0</v>
      </c>
      <c r="J140" s="500">
        <f>+ROUND('SP Min'!E294,0)</f>
        <v>0</v>
      </c>
      <c r="K140" s="511">
        <f>+I140-J140</f>
        <v>0</v>
      </c>
      <c r="L140" s="451" t="str">
        <f t="shared" si="8"/>
        <v xml:space="preserve">-    </v>
      </c>
      <c r="M140" s="446"/>
      <c r="Q140" s="458"/>
      <c r="R140" s="458"/>
      <c r="S140" s="458"/>
      <c r="T140" s="458"/>
    </row>
    <row r="141" spans="1:20" s="441" customFormat="1" ht="11.25">
      <c r="A141" s="432"/>
      <c r="B141" s="538" t="s">
        <v>2673</v>
      </c>
      <c r="C141" s="161" t="s">
        <v>2808</v>
      </c>
      <c r="D141" s="434"/>
      <c r="E141" s="434"/>
      <c r="F141" s="435"/>
      <c r="G141" s="552"/>
      <c r="H141" s="162"/>
      <c r="I141" s="553">
        <f>I142+I143+I144+I145+I146+I147</f>
        <v>56818259</v>
      </c>
      <c r="J141" s="535">
        <f>J142+J143+J144+J145+J146+J147</f>
        <v>71858169</v>
      </c>
      <c r="K141" s="511">
        <f t="shared" si="9"/>
        <v>-15039910</v>
      </c>
      <c r="L141" s="451">
        <f t="shared" si="8"/>
        <v>-0.2092999335955805</v>
      </c>
      <c r="M141" s="446"/>
      <c r="Q141" s="458"/>
      <c r="R141" s="458"/>
      <c r="S141" s="458"/>
      <c r="T141" s="458"/>
    </row>
    <row r="142" spans="1:20" s="452" customFormat="1" ht="18" customHeight="1">
      <c r="A142" s="432"/>
      <c r="B142" s="434"/>
      <c r="C142" s="448" t="s">
        <v>2678</v>
      </c>
      <c r="D142" s="860" t="s">
        <v>2809</v>
      </c>
      <c r="E142" s="860"/>
      <c r="F142" s="861"/>
      <c r="G142" s="554"/>
      <c r="H142" s="555"/>
      <c r="I142" s="497">
        <f>+ROUND('SP Min'!D297+'SP Min'!D300+'SP Min'!D301+'SP Min'!D304+'SP Min'!D305,0)</f>
        <v>0</v>
      </c>
      <c r="J142" s="497">
        <f>+ROUND('SP Min'!E297+'SP Min'!E300+'SP Min'!E301+'SP Min'!E304+'SP Min'!E305,0)</f>
        <v>0</v>
      </c>
      <c r="K142" s="511">
        <f t="shared" si="9"/>
        <v>0</v>
      </c>
      <c r="L142" s="451" t="str">
        <f t="shared" si="8"/>
        <v xml:space="preserve">-    </v>
      </c>
      <c r="M142" s="446"/>
      <c r="Q142" s="456"/>
      <c r="R142" s="456"/>
      <c r="S142" s="456"/>
      <c r="T142" s="456"/>
    </row>
    <row r="143" spans="1:20" s="452" customFormat="1" ht="22.5" customHeight="1">
      <c r="A143" s="432"/>
      <c r="B143" s="434"/>
      <c r="C143" s="448" t="s">
        <v>2680</v>
      </c>
      <c r="D143" s="860" t="s">
        <v>2810</v>
      </c>
      <c r="E143" s="860"/>
      <c r="F143" s="861"/>
      <c r="G143" s="511"/>
      <c r="H143" s="555"/>
      <c r="I143" s="497">
        <f>+ROUND('SP Min'!D298,0)</f>
        <v>0</v>
      </c>
      <c r="J143" s="497">
        <f>+ROUND('SP Min'!E298,0)</f>
        <v>0</v>
      </c>
      <c r="K143" s="511">
        <f t="shared" si="9"/>
        <v>0</v>
      </c>
      <c r="L143" s="451" t="str">
        <f t="shared" si="8"/>
        <v xml:space="preserve">-    </v>
      </c>
      <c r="M143" s="446"/>
      <c r="Q143" s="456"/>
      <c r="R143" s="456"/>
      <c r="S143" s="456"/>
      <c r="T143" s="456"/>
    </row>
    <row r="144" spans="1:20" s="452" customFormat="1" ht="22.5" customHeight="1">
      <c r="A144" s="432"/>
      <c r="B144" s="434"/>
      <c r="C144" s="448" t="s">
        <v>2703</v>
      </c>
      <c r="D144" s="860" t="s">
        <v>2811</v>
      </c>
      <c r="E144" s="860"/>
      <c r="F144" s="861"/>
      <c r="G144" s="511"/>
      <c r="H144" s="555"/>
      <c r="I144" s="497">
        <f>+ROUND('SP Min'!D299,0)</f>
        <v>0</v>
      </c>
      <c r="J144" s="497">
        <f>+ROUND('SP Min'!E299,0)</f>
        <v>0</v>
      </c>
      <c r="K144" s="511">
        <f t="shared" si="9"/>
        <v>0</v>
      </c>
      <c r="L144" s="451" t="str">
        <f t="shared" si="8"/>
        <v xml:space="preserve">-    </v>
      </c>
      <c r="M144" s="446"/>
      <c r="Q144" s="456"/>
      <c r="R144" s="456"/>
      <c r="S144" s="456"/>
      <c r="T144" s="456"/>
    </row>
    <row r="145" spans="1:20" s="452" customFormat="1" ht="11.25">
      <c r="A145" s="432"/>
      <c r="B145" s="434"/>
      <c r="C145" s="448" t="s">
        <v>2705</v>
      </c>
      <c r="D145" s="860" t="s">
        <v>2812</v>
      </c>
      <c r="E145" s="860"/>
      <c r="F145" s="861"/>
      <c r="G145" s="554"/>
      <c r="H145" s="555"/>
      <c r="I145" s="455">
        <f>+ROUND('SP Min'!D302+'SP Min'!D303,0)</f>
        <v>56631774</v>
      </c>
      <c r="J145" s="497">
        <f>+ROUND('SP Min'!E302+'SP Min'!E303,0)</f>
        <v>71600958</v>
      </c>
      <c r="K145" s="511">
        <f t="shared" si="9"/>
        <v>-14969184</v>
      </c>
      <c r="L145" s="451">
        <f t="shared" si="8"/>
        <v>-0.20906401838925115</v>
      </c>
      <c r="M145" s="446"/>
      <c r="Q145" s="456"/>
      <c r="R145" s="456"/>
      <c r="S145" s="456"/>
      <c r="T145" s="456"/>
    </row>
    <row r="146" spans="1:20" s="452" customFormat="1" ht="21.6" customHeight="1">
      <c r="A146" s="432"/>
      <c r="B146" s="434"/>
      <c r="C146" s="448" t="s">
        <v>2813</v>
      </c>
      <c r="D146" s="860" t="s">
        <v>2814</v>
      </c>
      <c r="E146" s="860"/>
      <c r="F146" s="861"/>
      <c r="G146" s="554"/>
      <c r="H146" s="555"/>
      <c r="I146" s="497">
        <f>+ROUND('SP Min'!D307,0)</f>
        <v>0</v>
      </c>
      <c r="J146" s="497">
        <f>+ROUND('SP Min'!E307,0)</f>
        <v>0</v>
      </c>
      <c r="K146" s="511">
        <f t="shared" si="9"/>
        <v>0</v>
      </c>
      <c r="L146" s="451" t="str">
        <f t="shared" si="8"/>
        <v xml:space="preserve">-    </v>
      </c>
      <c r="M146" s="446"/>
      <c r="Q146" s="456"/>
      <c r="R146" s="456"/>
      <c r="S146" s="456"/>
      <c r="T146" s="456"/>
    </row>
    <row r="147" spans="1:20" s="452" customFormat="1" ht="11.25">
      <c r="A147" s="432"/>
      <c r="B147" s="434"/>
      <c r="C147" s="448" t="s">
        <v>2815</v>
      </c>
      <c r="D147" s="860" t="s">
        <v>2816</v>
      </c>
      <c r="E147" s="860"/>
      <c r="F147" s="861"/>
      <c r="G147" s="554"/>
      <c r="H147" s="555"/>
      <c r="I147" s="497">
        <f>+ROUND('SP Min'!D306,0)</f>
        <v>186485</v>
      </c>
      <c r="J147" s="497">
        <f>+ROUND('SP Min'!E306,0)</f>
        <v>257211</v>
      </c>
      <c r="K147" s="511">
        <f t="shared" si="9"/>
        <v>-70726</v>
      </c>
      <c r="L147" s="451">
        <f t="shared" si="8"/>
        <v>-0.27497268779329032</v>
      </c>
      <c r="M147" s="446"/>
      <c r="Q147" s="456"/>
      <c r="R147" s="456"/>
      <c r="S147" s="456"/>
      <c r="T147" s="456"/>
    </row>
    <row r="148" spans="1:20" s="441" customFormat="1" ht="11.25">
      <c r="A148" s="432"/>
      <c r="B148" s="538" t="s">
        <v>2688</v>
      </c>
      <c r="C148" s="538" t="s">
        <v>2817</v>
      </c>
      <c r="D148" s="538"/>
      <c r="E148" s="434"/>
      <c r="F148" s="161"/>
      <c r="G148" s="552"/>
      <c r="H148" s="173"/>
      <c r="I148" s="500">
        <f>+ROUND('SP Min'!D313,0)</f>
        <v>0</v>
      </c>
      <c r="J148" s="500">
        <f>+ROUND('SP Min'!E313,0)</f>
        <v>0</v>
      </c>
      <c r="K148" s="445">
        <f t="shared" si="9"/>
        <v>0</v>
      </c>
      <c r="L148" s="440" t="str">
        <f t="shared" si="8"/>
        <v xml:space="preserve">-    </v>
      </c>
      <c r="M148" s="446"/>
      <c r="Q148" s="458"/>
      <c r="R148" s="458"/>
      <c r="S148" s="458"/>
      <c r="T148" s="458"/>
    </row>
    <row r="149" spans="1:20" s="441" customFormat="1" ht="11.25">
      <c r="A149" s="432"/>
      <c r="B149" s="538" t="s">
        <v>2690</v>
      </c>
      <c r="C149" s="161" t="s">
        <v>2818</v>
      </c>
      <c r="D149" s="538"/>
      <c r="E149" s="434"/>
      <c r="F149" s="161"/>
      <c r="G149" s="552"/>
      <c r="H149" s="172"/>
      <c r="I149" s="444">
        <f>+ROUND('SP Min'!D317,0)</f>
        <v>69904093</v>
      </c>
      <c r="J149" s="500">
        <f>+ROUND('SP Min'!E317,0)</f>
        <v>89809618</v>
      </c>
      <c r="K149" s="445">
        <f t="shared" si="9"/>
        <v>-19905525</v>
      </c>
      <c r="L149" s="440">
        <f t="shared" si="8"/>
        <v>-0.22164135026161674</v>
      </c>
      <c r="M149" s="446"/>
      <c r="Q149" s="458"/>
      <c r="R149" s="458"/>
      <c r="S149" s="458"/>
      <c r="T149" s="458"/>
    </row>
    <row r="150" spans="1:20" s="441" customFormat="1" ht="11.25">
      <c r="A150" s="432"/>
      <c r="B150" s="538" t="s">
        <v>2692</v>
      </c>
      <c r="C150" s="161" t="s">
        <v>2819</v>
      </c>
      <c r="D150" s="538"/>
      <c r="E150" s="434"/>
      <c r="F150" s="161"/>
      <c r="G150" s="554"/>
      <c r="H150" s="173"/>
      <c r="I150" s="444">
        <f>+ROUND('SP Min'!D324,0)</f>
        <v>0</v>
      </c>
      <c r="J150" s="500">
        <f>+ROUND('SP Min'!E324,0)</f>
        <v>0</v>
      </c>
      <c r="K150" s="445">
        <f t="shared" si="9"/>
        <v>0</v>
      </c>
      <c r="L150" s="440" t="str">
        <f t="shared" si="8"/>
        <v xml:space="preserve">-    </v>
      </c>
      <c r="M150" s="446"/>
      <c r="Q150" s="458"/>
      <c r="R150" s="458"/>
      <c r="S150" s="458"/>
      <c r="T150" s="458"/>
    </row>
    <row r="151" spans="1:20" s="441" customFormat="1" ht="11.25">
      <c r="A151" s="432"/>
      <c r="B151" s="538" t="s">
        <v>2694</v>
      </c>
      <c r="C151" s="161" t="s">
        <v>2820</v>
      </c>
      <c r="D151" s="538"/>
      <c r="E151" s="434"/>
      <c r="F151" s="556"/>
      <c r="G151" s="552"/>
      <c r="H151" s="173"/>
      <c r="I151" s="444">
        <f>+ROUND('SP Min'!D325,0)</f>
        <v>1301343</v>
      </c>
      <c r="J151" s="500">
        <f>+ROUND('SP Min'!E325,0)</f>
        <v>1679307</v>
      </c>
      <c r="K151" s="445">
        <f t="shared" si="9"/>
        <v>-377964</v>
      </c>
      <c r="L151" s="440">
        <f t="shared" si="8"/>
        <v>-0.22507141338659339</v>
      </c>
      <c r="M151" s="446"/>
      <c r="Q151" s="458"/>
      <c r="R151" s="458"/>
      <c r="S151" s="458"/>
      <c r="T151" s="458"/>
    </row>
    <row r="152" spans="1:20" s="441" customFormat="1" ht="11.25">
      <c r="A152" s="557"/>
      <c r="B152" s="558" t="s">
        <v>2821</v>
      </c>
      <c r="C152" s="161" t="s">
        <v>2822</v>
      </c>
      <c r="D152" s="558"/>
      <c r="E152" s="420"/>
      <c r="F152" s="556"/>
      <c r="G152" s="554"/>
      <c r="H152" s="169"/>
      <c r="I152" s="444">
        <f>+ROUND('SP Min'!D328,0)</f>
        <v>0</v>
      </c>
      <c r="J152" s="500">
        <f>+ROUND('SP Min'!E328,0)</f>
        <v>0</v>
      </c>
      <c r="K152" s="445">
        <f t="shared" si="9"/>
        <v>0</v>
      </c>
      <c r="L152" s="440" t="str">
        <f t="shared" si="8"/>
        <v xml:space="preserve">-    </v>
      </c>
      <c r="M152" s="446"/>
      <c r="Q152" s="458"/>
      <c r="R152" s="458"/>
      <c r="S152" s="458"/>
      <c r="T152" s="458"/>
    </row>
    <row r="153" spans="1:20" s="441" customFormat="1" ht="11.25">
      <c r="A153" s="432"/>
      <c r="B153" s="538" t="s">
        <v>2823</v>
      </c>
      <c r="C153" s="161" t="s">
        <v>2824</v>
      </c>
      <c r="D153" s="538"/>
      <c r="E153" s="434"/>
      <c r="F153" s="161"/>
      <c r="G153" s="552"/>
      <c r="H153" s="173"/>
      <c r="I153" s="444">
        <f>+ROUND(+'SP Min'!D326,0)</f>
        <v>498835</v>
      </c>
      <c r="J153" s="500">
        <f>+ROUND(+'SP Min'!E326,0)</f>
        <v>442347</v>
      </c>
      <c r="K153" s="445">
        <f t="shared" si="9"/>
        <v>56488</v>
      </c>
      <c r="L153" s="440">
        <f t="shared" si="8"/>
        <v>0.12770065129864111</v>
      </c>
      <c r="M153" s="446"/>
      <c r="Q153" s="458"/>
      <c r="R153" s="458"/>
      <c r="S153" s="458"/>
      <c r="T153" s="458"/>
    </row>
    <row r="154" spans="1:20" s="441" customFormat="1" ht="11.25">
      <c r="A154" s="432"/>
      <c r="B154" s="538" t="s">
        <v>2825</v>
      </c>
      <c r="C154" s="161" t="s">
        <v>2826</v>
      </c>
      <c r="D154" s="538"/>
      <c r="E154" s="434"/>
      <c r="F154" s="435"/>
      <c r="G154" s="559"/>
      <c r="H154" s="560"/>
      <c r="I154" s="444">
        <f>+ROUND('SP Min'!D331+'SP Min'!D329+'SP Min'!D330,0)</f>
        <v>4336959</v>
      </c>
      <c r="J154" s="500">
        <f>+ROUND('SP Min'!E331+'SP Min'!E329+'SP Min'!E330,0)</f>
        <v>4329490</v>
      </c>
      <c r="K154" s="445">
        <f t="shared" si="9"/>
        <v>7469</v>
      </c>
      <c r="L154" s="440">
        <f t="shared" si="8"/>
        <v>1.725145455931299E-3</v>
      </c>
      <c r="M154" s="446"/>
      <c r="Q154" s="458"/>
      <c r="R154" s="458"/>
      <c r="S154" s="458"/>
      <c r="T154" s="458"/>
    </row>
    <row r="155" spans="1:20" s="441" customFormat="1" ht="11.25">
      <c r="A155" s="875" t="s">
        <v>2770</v>
      </c>
      <c r="B155" s="876"/>
      <c r="C155" s="876"/>
      <c r="D155" s="876"/>
      <c r="E155" s="876"/>
      <c r="F155" s="876"/>
      <c r="G155" s="877"/>
      <c r="H155" s="878"/>
      <c r="I155" s="477">
        <f>SUM(I137:I141)+SUM(I148:I154)</f>
        <v>134887288</v>
      </c>
      <c r="J155" s="477">
        <f>SUM(J137:J141)+SUM(J148:J154)</f>
        <v>170147266</v>
      </c>
      <c r="K155" s="541">
        <f t="shared" si="9"/>
        <v>-35259978</v>
      </c>
      <c r="L155" s="141">
        <f t="shared" si="8"/>
        <v>-0.20723211620690984</v>
      </c>
      <c r="M155" s="446"/>
      <c r="Q155" s="458"/>
      <c r="R155" s="458"/>
      <c r="S155" s="458"/>
      <c r="T155" s="458"/>
    </row>
    <row r="156" spans="1:20" s="441" customFormat="1" ht="11.25">
      <c r="A156" s="542" t="s">
        <v>97</v>
      </c>
      <c r="B156" s="161" t="s">
        <v>2827</v>
      </c>
      <c r="C156" s="538"/>
      <c r="D156" s="538"/>
      <c r="E156" s="434"/>
      <c r="F156" s="435"/>
      <c r="G156" s="543"/>
      <c r="H156" s="173"/>
      <c r="I156" s="535"/>
      <c r="J156" s="535"/>
      <c r="K156" s="445">
        <f t="shared" si="9"/>
        <v>0</v>
      </c>
      <c r="L156" s="150" t="str">
        <f t="shared" si="8"/>
        <v xml:space="preserve">-    </v>
      </c>
      <c r="M156" s="446"/>
      <c r="Q156" s="458"/>
      <c r="R156" s="458"/>
      <c r="S156" s="458"/>
      <c r="T156" s="458"/>
    </row>
    <row r="157" spans="1:20" s="441" customFormat="1" ht="11.25">
      <c r="A157" s="542"/>
      <c r="B157" s="538" t="s">
        <v>86</v>
      </c>
      <c r="C157" s="161" t="s">
        <v>2828</v>
      </c>
      <c r="D157" s="538"/>
      <c r="E157" s="434"/>
      <c r="F157" s="443"/>
      <c r="G157" s="436"/>
      <c r="H157" s="173"/>
      <c r="I157" s="500">
        <f>+ROUND(+'SP Min'!D333,0)</f>
        <v>0</v>
      </c>
      <c r="J157" s="500">
        <f>+ROUND(+'SP Min'!E333,0)</f>
        <v>0</v>
      </c>
      <c r="K157" s="511">
        <f t="shared" si="9"/>
        <v>0</v>
      </c>
      <c r="L157" s="451" t="str">
        <f t="shared" si="8"/>
        <v xml:space="preserve">-    </v>
      </c>
      <c r="M157" s="446"/>
      <c r="Q157" s="458"/>
      <c r="R157" s="458"/>
      <c r="S157" s="458"/>
      <c r="T157" s="458"/>
    </row>
    <row r="158" spans="1:20" s="441" customFormat="1" ht="11.25">
      <c r="A158" s="542"/>
      <c r="B158" s="538" t="s">
        <v>88</v>
      </c>
      <c r="C158" s="161" t="s">
        <v>2829</v>
      </c>
      <c r="D158" s="538"/>
      <c r="E158" s="434"/>
      <c r="F158" s="435"/>
      <c r="G158" s="544"/>
      <c r="H158" s="173"/>
      <c r="I158" s="500">
        <f>+ROUND(+'SP Min'!D336,0)</f>
        <v>0</v>
      </c>
      <c r="J158" s="500">
        <f>+ROUND(+'SP Min'!E336,0)</f>
        <v>0</v>
      </c>
      <c r="K158" s="511">
        <f t="shared" si="9"/>
        <v>0</v>
      </c>
      <c r="L158" s="451" t="str">
        <f t="shared" si="8"/>
        <v xml:space="preserve">-    </v>
      </c>
      <c r="M158" s="446"/>
      <c r="Q158" s="458"/>
      <c r="R158" s="458"/>
      <c r="S158" s="458"/>
      <c r="T158" s="458"/>
    </row>
    <row r="159" spans="1:20" s="441" customFormat="1" ht="11.25">
      <c r="A159" s="875" t="s">
        <v>2830</v>
      </c>
      <c r="B159" s="876"/>
      <c r="C159" s="876"/>
      <c r="D159" s="876"/>
      <c r="E159" s="876"/>
      <c r="F159" s="876"/>
      <c r="G159" s="879"/>
      <c r="H159" s="878"/>
      <c r="I159" s="477">
        <f>SUM(I157:I158)</f>
        <v>0</v>
      </c>
      <c r="J159" s="477">
        <f>SUM(J157:J158)</f>
        <v>0</v>
      </c>
      <c r="K159" s="541">
        <f t="shared" si="9"/>
        <v>0</v>
      </c>
      <c r="L159" s="141" t="str">
        <f t="shared" si="8"/>
        <v xml:space="preserve">-    </v>
      </c>
      <c r="M159" s="446"/>
      <c r="Q159" s="458"/>
      <c r="R159" s="458"/>
      <c r="S159" s="458"/>
      <c r="T159" s="458"/>
    </row>
    <row r="160" spans="1:20" s="441" customFormat="1" ht="12" thickBot="1">
      <c r="A160" s="432"/>
      <c r="B160" s="434"/>
      <c r="C160" s="434"/>
      <c r="D160" s="434"/>
      <c r="E160" s="434"/>
      <c r="F160" s="443"/>
      <c r="G160" s="543"/>
      <c r="H160" s="173"/>
      <c r="I160" s="535"/>
      <c r="J160" s="535"/>
      <c r="K160" s="445">
        <f t="shared" si="9"/>
        <v>0</v>
      </c>
      <c r="L160" s="150" t="str">
        <f t="shared" si="8"/>
        <v xml:space="preserve">-    </v>
      </c>
      <c r="M160" s="446"/>
      <c r="Q160" s="458"/>
      <c r="R160" s="458"/>
      <c r="S160" s="458"/>
      <c r="T160" s="458"/>
    </row>
    <row r="161" spans="1:20" s="441" customFormat="1" ht="12" thickBot="1">
      <c r="A161" s="836" t="s">
        <v>2831</v>
      </c>
      <c r="B161" s="837"/>
      <c r="C161" s="837"/>
      <c r="D161" s="837"/>
      <c r="E161" s="837"/>
      <c r="F161" s="837"/>
      <c r="G161" s="837"/>
      <c r="H161" s="880"/>
      <c r="I161" s="512">
        <f>I123+I130+I134+I155+I159</f>
        <v>243721456</v>
      </c>
      <c r="J161" s="512">
        <f>J123+J130+J134+J155+J159</f>
        <v>249702443</v>
      </c>
      <c r="K161" s="561">
        <f t="shared" si="9"/>
        <v>-5980987</v>
      </c>
      <c r="L161" s="142">
        <f t="shared" si="8"/>
        <v>-2.3952456884853146E-2</v>
      </c>
      <c r="M161" s="446"/>
      <c r="Q161" s="458"/>
      <c r="R161" s="458"/>
      <c r="S161" s="458"/>
      <c r="T161" s="458"/>
    </row>
    <row r="162" spans="1:20" s="441" customFormat="1" ht="11.25">
      <c r="A162" s="542" t="s">
        <v>2832</v>
      </c>
      <c r="B162" s="161" t="s">
        <v>2764</v>
      </c>
      <c r="C162" s="538"/>
      <c r="D162" s="538"/>
      <c r="E162" s="538"/>
      <c r="F162" s="558"/>
      <c r="G162" s="485"/>
      <c r="H162" s="506"/>
      <c r="I162" s="507"/>
      <c r="J162" s="507"/>
      <c r="K162" s="445" t="s">
        <v>2833</v>
      </c>
      <c r="L162" s="150" t="s">
        <v>2833</v>
      </c>
      <c r="M162" s="446"/>
      <c r="Q162" s="458"/>
      <c r="R162" s="458"/>
      <c r="S162" s="458"/>
      <c r="T162" s="458"/>
    </row>
    <row r="163" spans="1:20" s="441" customFormat="1" ht="11.25">
      <c r="A163" s="542"/>
      <c r="B163" s="538" t="s">
        <v>2765</v>
      </c>
      <c r="C163" s="161" t="s">
        <v>2766</v>
      </c>
      <c r="D163" s="538"/>
      <c r="E163" s="538"/>
      <c r="F163" s="443"/>
      <c r="G163" s="485"/>
      <c r="H163" s="506"/>
      <c r="I163" s="500">
        <f>+ROUND(+'SP Min'!D342,0)</f>
        <v>0</v>
      </c>
      <c r="J163" s="500">
        <f>+ROUND(+'SP Min'!E342,0)</f>
        <v>0</v>
      </c>
      <c r="K163" s="511">
        <f t="shared" si="9"/>
        <v>0</v>
      </c>
      <c r="L163" s="451" t="str">
        <f t="shared" si="8"/>
        <v xml:space="preserve">-    </v>
      </c>
      <c r="M163" s="446"/>
      <c r="Q163" s="458"/>
      <c r="R163" s="458"/>
      <c r="S163" s="458"/>
      <c r="T163" s="458"/>
    </row>
    <row r="164" spans="1:20" s="441" customFormat="1" ht="11.25">
      <c r="A164" s="542"/>
      <c r="B164" s="538" t="s">
        <v>88</v>
      </c>
      <c r="C164" s="443" t="s">
        <v>2767</v>
      </c>
      <c r="D164" s="538"/>
      <c r="E164" s="538"/>
      <c r="F164" s="558"/>
      <c r="G164" s="485"/>
      <c r="H164" s="506"/>
      <c r="I164" s="500">
        <f>+ROUND(+'SP Min'!D343,0)</f>
        <v>0</v>
      </c>
      <c r="J164" s="500">
        <f>+ROUND(+'SP Min'!E343,0)</f>
        <v>0</v>
      </c>
      <c r="K164" s="511">
        <f t="shared" si="9"/>
        <v>0</v>
      </c>
      <c r="L164" s="451" t="str">
        <f t="shared" si="8"/>
        <v xml:space="preserve">-    </v>
      </c>
      <c r="M164" s="446"/>
      <c r="Q164" s="458"/>
      <c r="R164" s="458"/>
      <c r="S164" s="458"/>
      <c r="T164" s="458"/>
    </row>
    <row r="165" spans="1:20" s="441" customFormat="1" ht="11.25">
      <c r="A165" s="542"/>
      <c r="B165" s="443" t="s">
        <v>116</v>
      </c>
      <c r="C165" s="538" t="s">
        <v>2768</v>
      </c>
      <c r="D165" s="538"/>
      <c r="E165" s="538"/>
      <c r="F165" s="558"/>
      <c r="G165" s="485"/>
      <c r="H165" s="506"/>
      <c r="I165" s="500">
        <f>+ROUND(+'SP Min'!D344,0)</f>
        <v>347397</v>
      </c>
      <c r="J165" s="500">
        <f>+ROUND(+'SP Min'!E344,0)</f>
        <v>347397</v>
      </c>
      <c r="K165" s="511">
        <f t="shared" si="9"/>
        <v>0</v>
      </c>
      <c r="L165" s="451">
        <f t="shared" si="8"/>
        <v>0</v>
      </c>
      <c r="M165" s="446"/>
      <c r="Q165" s="458"/>
      <c r="R165" s="458"/>
      <c r="S165" s="458"/>
      <c r="T165" s="458"/>
    </row>
    <row r="166" spans="1:20" s="441" customFormat="1" ht="11.25">
      <c r="A166" s="542"/>
      <c r="B166" s="538" t="s">
        <v>2671</v>
      </c>
      <c r="C166" s="161" t="s">
        <v>2769</v>
      </c>
      <c r="D166" s="538"/>
      <c r="E166" s="538"/>
      <c r="F166" s="443"/>
      <c r="G166" s="508"/>
      <c r="H166" s="506"/>
      <c r="I166" s="500">
        <f>+ROUND(+'SP Min'!D345+'SP Min'!D346,0)</f>
        <v>0</v>
      </c>
      <c r="J166" s="500">
        <f>+ROUND(+'SP Min'!E345+'SP Min'!E346,0)</f>
        <v>0</v>
      </c>
      <c r="K166" s="511">
        <f t="shared" si="9"/>
        <v>0</v>
      </c>
      <c r="L166" s="451" t="str">
        <f t="shared" si="8"/>
        <v xml:space="preserve">-    </v>
      </c>
      <c r="M166" s="446"/>
      <c r="Q166" s="458"/>
      <c r="R166" s="458"/>
      <c r="S166" s="458"/>
      <c r="T166" s="458"/>
    </row>
    <row r="167" spans="1:20" s="441" customFormat="1" ht="12" thickBot="1">
      <c r="A167" s="862" t="s">
        <v>2834</v>
      </c>
      <c r="B167" s="863"/>
      <c r="C167" s="863"/>
      <c r="D167" s="863"/>
      <c r="E167" s="863"/>
      <c r="F167" s="863"/>
      <c r="G167" s="864"/>
      <c r="H167" s="865"/>
      <c r="I167" s="515">
        <f>SUM(I163:I166)</f>
        <v>347397</v>
      </c>
      <c r="J167" s="515">
        <f>SUM(J163:J166)</f>
        <v>347397</v>
      </c>
      <c r="K167" s="516">
        <f t="shared" si="9"/>
        <v>0</v>
      </c>
      <c r="L167" s="517">
        <f t="shared" si="8"/>
        <v>0</v>
      </c>
      <c r="M167" s="446"/>
      <c r="Q167" s="458"/>
      <c r="R167" s="458"/>
      <c r="S167" s="458"/>
      <c r="T167" s="458"/>
    </row>
    <row r="168" spans="1:20" s="452" customFormat="1" ht="11.25">
      <c r="A168" s="562"/>
      <c r="B168" s="562"/>
      <c r="C168" s="562"/>
      <c r="D168" s="562"/>
      <c r="E168" s="562"/>
      <c r="I168" s="563"/>
      <c r="J168" s="563"/>
      <c r="K168" s="564"/>
      <c r="L168" s="565"/>
    </row>
    <row r="169" spans="1:20" s="452" customFormat="1" ht="11.25">
      <c r="A169" s="562"/>
      <c r="B169" s="562"/>
      <c r="C169" s="562"/>
      <c r="D169" s="562"/>
      <c r="E169" s="562"/>
      <c r="F169" s="566" t="s">
        <v>2833</v>
      </c>
      <c r="I169" s="563">
        <f>+I161-I92</f>
        <v>0</v>
      </c>
      <c r="J169" s="563"/>
      <c r="K169" s="564"/>
      <c r="L169" s="565"/>
    </row>
    <row r="170" spans="1:20" s="452" customFormat="1" ht="11.25">
      <c r="A170" s="562"/>
      <c r="B170" s="562"/>
      <c r="C170" s="562"/>
      <c r="D170" s="562"/>
      <c r="E170" s="562"/>
      <c r="I170" s="563"/>
      <c r="J170" s="563"/>
      <c r="K170" s="564"/>
      <c r="L170" s="565"/>
    </row>
    <row r="171" spans="1:20" s="452" customFormat="1" ht="11.25">
      <c r="A171" s="562"/>
      <c r="B171" s="562"/>
      <c r="C171" s="562"/>
      <c r="D171" s="562"/>
      <c r="E171" s="562"/>
      <c r="I171" s="563"/>
      <c r="J171" s="563"/>
      <c r="K171" s="564"/>
      <c r="L171" s="565"/>
    </row>
    <row r="172" spans="1:20" s="452" customFormat="1" ht="11.25">
      <c r="A172" s="562"/>
      <c r="B172" s="562"/>
      <c r="C172" s="562"/>
      <c r="D172" s="562"/>
      <c r="E172" s="562"/>
      <c r="I172" s="563"/>
      <c r="J172" s="563"/>
      <c r="K172" s="564"/>
      <c r="L172" s="565"/>
    </row>
    <row r="173" spans="1:20" s="452" customFormat="1" ht="11.25">
      <c r="A173" s="562"/>
      <c r="B173" s="562"/>
      <c r="C173" s="562"/>
      <c r="D173" s="562"/>
      <c r="E173" s="562"/>
      <c r="I173" s="563"/>
      <c r="J173" s="563"/>
      <c r="K173" s="564"/>
      <c r="L173" s="565"/>
    </row>
    <row r="174" spans="1:20" s="452" customFormat="1" ht="11.25">
      <c r="A174" s="562"/>
      <c r="B174" s="562"/>
      <c r="C174" s="562"/>
      <c r="D174" s="562"/>
      <c r="E174" s="562"/>
      <c r="I174" s="563"/>
      <c r="J174" s="563"/>
      <c r="K174" s="564"/>
      <c r="L174" s="565"/>
    </row>
    <row r="175" spans="1:20" s="452" customFormat="1" ht="11.25">
      <c r="A175" s="562"/>
      <c r="B175" s="562"/>
      <c r="C175" s="562"/>
      <c r="D175" s="562"/>
      <c r="E175" s="562"/>
      <c r="I175" s="563"/>
      <c r="J175" s="563"/>
      <c r="K175" s="564"/>
      <c r="L175" s="565"/>
    </row>
    <row r="176" spans="1:20" s="452" customFormat="1" ht="11.25">
      <c r="A176" s="562"/>
      <c r="B176" s="562"/>
      <c r="C176" s="562"/>
      <c r="D176" s="562"/>
      <c r="E176" s="562"/>
      <c r="I176" s="563"/>
      <c r="J176" s="563"/>
      <c r="K176" s="564"/>
      <c r="L176" s="565"/>
    </row>
    <row r="177" spans="1:12" s="452" customFormat="1" ht="11.25">
      <c r="A177" s="562"/>
      <c r="B177" s="562"/>
      <c r="C177" s="562"/>
      <c r="D177" s="562"/>
      <c r="E177" s="562"/>
      <c r="I177" s="563"/>
      <c r="J177" s="563"/>
      <c r="K177" s="564"/>
      <c r="L177" s="565"/>
    </row>
    <row r="178" spans="1:12" s="452" customFormat="1" ht="11.25">
      <c r="A178" s="562"/>
      <c r="B178" s="562"/>
      <c r="C178" s="562"/>
      <c r="D178" s="562"/>
      <c r="E178" s="562"/>
      <c r="I178" s="563"/>
      <c r="J178" s="563"/>
      <c r="K178" s="564"/>
      <c r="L178" s="565"/>
    </row>
    <row r="179" spans="1:12" s="452" customFormat="1" ht="11.25">
      <c r="A179" s="562"/>
      <c r="B179" s="562"/>
      <c r="C179" s="562"/>
      <c r="D179" s="562"/>
      <c r="E179" s="562"/>
      <c r="I179" s="563"/>
      <c r="J179" s="563"/>
      <c r="K179" s="564"/>
      <c r="L179" s="565"/>
    </row>
    <row r="180" spans="1:12" s="452" customFormat="1" ht="11.25">
      <c r="A180" s="562"/>
      <c r="B180" s="562"/>
      <c r="C180" s="562"/>
      <c r="D180" s="562"/>
      <c r="E180" s="562"/>
      <c r="I180" s="563"/>
      <c r="J180" s="563"/>
      <c r="K180" s="564"/>
      <c r="L180" s="565"/>
    </row>
    <row r="181" spans="1:12" s="452" customFormat="1" ht="11.25">
      <c r="A181" s="562"/>
      <c r="B181" s="562"/>
      <c r="C181" s="562"/>
      <c r="D181" s="562"/>
      <c r="E181" s="562"/>
      <c r="I181" s="563"/>
      <c r="J181" s="563"/>
      <c r="K181" s="564"/>
      <c r="L181" s="565"/>
    </row>
    <row r="182" spans="1:12" s="452" customFormat="1" ht="11.25">
      <c r="A182" s="562"/>
      <c r="B182" s="562"/>
      <c r="C182" s="562"/>
      <c r="D182" s="562"/>
      <c r="E182" s="562"/>
      <c r="I182" s="563"/>
      <c r="J182" s="563"/>
      <c r="K182" s="564"/>
      <c r="L182" s="565"/>
    </row>
    <row r="183" spans="1:12" s="452" customFormat="1" ht="11.25">
      <c r="A183" s="562"/>
      <c r="B183" s="562"/>
      <c r="C183" s="562"/>
      <c r="D183" s="562"/>
      <c r="E183" s="562"/>
      <c r="I183" s="563"/>
      <c r="J183" s="563"/>
      <c r="K183" s="564"/>
      <c r="L183" s="565"/>
    </row>
    <row r="184" spans="1:12" s="452" customFormat="1" ht="11.25">
      <c r="A184" s="562"/>
      <c r="B184" s="562"/>
      <c r="C184" s="562"/>
      <c r="D184" s="562"/>
      <c r="E184" s="562"/>
      <c r="I184" s="563"/>
      <c r="J184" s="563"/>
      <c r="K184" s="564"/>
      <c r="L184" s="565"/>
    </row>
    <row r="185" spans="1:12" s="452" customFormat="1" ht="11.25">
      <c r="A185" s="562"/>
      <c r="B185" s="562"/>
      <c r="C185" s="562"/>
      <c r="D185" s="562"/>
      <c r="E185" s="562"/>
      <c r="I185" s="563"/>
      <c r="J185" s="563"/>
      <c r="K185" s="564"/>
      <c r="L185" s="565"/>
    </row>
    <row r="186" spans="1:12" s="452" customFormat="1" ht="11.25">
      <c r="A186" s="562"/>
      <c r="B186" s="562"/>
      <c r="C186" s="562"/>
      <c r="D186" s="562"/>
      <c r="E186" s="562"/>
      <c r="I186" s="563"/>
      <c r="J186" s="563"/>
      <c r="K186" s="564"/>
      <c r="L186" s="565"/>
    </row>
    <row r="187" spans="1:12" s="452" customFormat="1" ht="11.25">
      <c r="A187" s="562"/>
      <c r="B187" s="562"/>
      <c r="C187" s="562"/>
      <c r="D187" s="562"/>
      <c r="E187" s="562"/>
      <c r="I187" s="563"/>
      <c r="J187" s="563"/>
      <c r="K187" s="564"/>
      <c r="L187" s="565"/>
    </row>
    <row r="188" spans="1:12" s="452" customFormat="1" ht="11.25">
      <c r="A188" s="562"/>
      <c r="B188" s="562"/>
      <c r="C188" s="562"/>
      <c r="D188" s="562"/>
      <c r="E188" s="562"/>
      <c r="I188" s="563"/>
      <c r="J188" s="563"/>
      <c r="K188" s="564"/>
      <c r="L188" s="565"/>
    </row>
    <row r="189" spans="1:12" s="452" customFormat="1" ht="11.25">
      <c r="A189" s="562"/>
      <c r="B189" s="562"/>
      <c r="C189" s="562"/>
      <c r="D189" s="562"/>
      <c r="E189" s="562"/>
      <c r="I189" s="563"/>
      <c r="J189" s="563"/>
      <c r="K189" s="564"/>
      <c r="L189" s="565"/>
    </row>
    <row r="190" spans="1:12" s="452" customFormat="1" ht="11.25">
      <c r="A190" s="562"/>
      <c r="B190" s="562"/>
      <c r="C190" s="562"/>
      <c r="D190" s="562"/>
      <c r="E190" s="562"/>
      <c r="I190" s="563"/>
      <c r="J190" s="563"/>
      <c r="K190" s="564"/>
      <c r="L190" s="565"/>
    </row>
    <row r="191" spans="1:12" s="452" customFormat="1" ht="11.25">
      <c r="A191" s="562"/>
      <c r="B191" s="562"/>
      <c r="C191" s="562"/>
      <c r="D191" s="562"/>
      <c r="E191" s="562"/>
      <c r="I191" s="563"/>
      <c r="J191" s="563"/>
      <c r="K191" s="564"/>
      <c r="L191" s="565"/>
    </row>
    <row r="192" spans="1:12" s="452" customFormat="1" ht="11.25">
      <c r="A192" s="562"/>
      <c r="B192" s="562"/>
      <c r="C192" s="562"/>
      <c r="D192" s="562"/>
      <c r="E192" s="562"/>
      <c r="I192" s="563"/>
      <c r="J192" s="563"/>
      <c r="K192" s="564"/>
      <c r="L192" s="565"/>
    </row>
    <row r="193" spans="1:12" s="452" customFormat="1" ht="11.25">
      <c r="A193" s="562"/>
      <c r="B193" s="562"/>
      <c r="C193" s="562"/>
      <c r="D193" s="562"/>
      <c r="E193" s="562"/>
      <c r="I193" s="563"/>
      <c r="J193" s="563"/>
      <c r="K193" s="564"/>
      <c r="L193" s="565"/>
    </row>
    <row r="194" spans="1:12" s="452" customFormat="1" ht="11.25">
      <c r="A194" s="562"/>
      <c r="B194" s="562"/>
      <c r="C194" s="562"/>
      <c r="D194" s="562"/>
      <c r="E194" s="562"/>
      <c r="I194" s="563"/>
      <c r="J194" s="563"/>
      <c r="K194" s="564"/>
      <c r="L194" s="565"/>
    </row>
    <row r="195" spans="1:12" s="452" customFormat="1" ht="11.25">
      <c r="A195" s="562"/>
      <c r="B195" s="562"/>
      <c r="C195" s="562"/>
      <c r="D195" s="562"/>
      <c r="E195" s="562"/>
      <c r="I195" s="563"/>
      <c r="J195" s="563"/>
      <c r="K195" s="564"/>
      <c r="L195" s="565"/>
    </row>
    <row r="196" spans="1:12" s="452" customFormat="1" ht="11.25">
      <c r="A196" s="562"/>
      <c r="B196" s="562"/>
      <c r="C196" s="562"/>
      <c r="D196" s="562"/>
      <c r="E196" s="562"/>
      <c r="I196" s="563"/>
      <c r="J196" s="563"/>
      <c r="K196" s="564"/>
      <c r="L196" s="565"/>
    </row>
    <row r="197" spans="1:12" s="452" customFormat="1" ht="11.25">
      <c r="A197" s="562"/>
      <c r="B197" s="562"/>
      <c r="C197" s="562"/>
      <c r="D197" s="562"/>
      <c r="E197" s="562"/>
      <c r="I197" s="563"/>
      <c r="J197" s="563"/>
      <c r="K197" s="564"/>
      <c r="L197" s="565"/>
    </row>
    <row r="198" spans="1:12" s="452" customFormat="1" ht="11.25">
      <c r="A198" s="562"/>
      <c r="B198" s="562"/>
      <c r="C198" s="562"/>
      <c r="D198" s="562"/>
      <c r="E198" s="562"/>
      <c r="I198" s="563"/>
      <c r="J198" s="563"/>
      <c r="K198" s="564"/>
      <c r="L198" s="565"/>
    </row>
    <row r="199" spans="1:12" s="452" customFormat="1" ht="11.25">
      <c r="A199" s="562"/>
      <c r="B199" s="562"/>
      <c r="C199" s="562"/>
      <c r="D199" s="562"/>
      <c r="E199" s="562"/>
      <c r="I199" s="563"/>
      <c r="J199" s="563"/>
      <c r="K199" s="564"/>
      <c r="L199" s="565"/>
    </row>
    <row r="200" spans="1:12" s="452" customFormat="1" ht="11.25">
      <c r="A200" s="562"/>
      <c r="B200" s="562"/>
      <c r="C200" s="562"/>
      <c r="D200" s="562"/>
      <c r="E200" s="562"/>
      <c r="I200" s="563"/>
      <c r="J200" s="563"/>
      <c r="K200" s="564"/>
      <c r="L200" s="565"/>
    </row>
    <row r="201" spans="1:12" s="452" customFormat="1" ht="11.25">
      <c r="A201" s="562"/>
      <c r="B201" s="562"/>
      <c r="C201" s="562"/>
      <c r="D201" s="562"/>
      <c r="E201" s="562"/>
      <c r="I201" s="563"/>
      <c r="J201" s="563"/>
      <c r="K201" s="564"/>
      <c r="L201" s="565"/>
    </row>
    <row r="202" spans="1:12" s="452" customFormat="1" ht="11.25">
      <c r="A202" s="562"/>
      <c r="B202" s="562"/>
      <c r="C202" s="562"/>
      <c r="D202" s="562"/>
      <c r="E202" s="562"/>
      <c r="I202" s="563"/>
      <c r="J202" s="563"/>
      <c r="K202" s="564"/>
      <c r="L202" s="565"/>
    </row>
    <row r="203" spans="1:12" s="452" customFormat="1" ht="11.25">
      <c r="A203" s="562"/>
      <c r="B203" s="562"/>
      <c r="C203" s="562"/>
      <c r="D203" s="562"/>
      <c r="E203" s="562"/>
      <c r="I203" s="563"/>
      <c r="J203" s="563"/>
      <c r="K203" s="564"/>
      <c r="L203" s="565"/>
    </row>
    <row r="204" spans="1:12" s="452" customFormat="1" ht="11.25">
      <c r="A204" s="562"/>
      <c r="B204" s="562"/>
      <c r="C204" s="562"/>
      <c r="D204" s="562"/>
      <c r="E204" s="562"/>
      <c r="I204" s="563"/>
      <c r="J204" s="563"/>
      <c r="K204" s="564"/>
      <c r="L204" s="565"/>
    </row>
    <row r="205" spans="1:12" s="452" customFormat="1" ht="11.25">
      <c r="A205" s="562"/>
      <c r="B205" s="562"/>
      <c r="C205" s="562"/>
      <c r="D205" s="562"/>
      <c r="E205" s="562"/>
      <c r="I205" s="563"/>
      <c r="J205" s="563"/>
      <c r="K205" s="564"/>
      <c r="L205" s="565"/>
    </row>
    <row r="206" spans="1:12" s="452" customFormat="1" ht="11.25">
      <c r="A206" s="562"/>
      <c r="B206" s="562"/>
      <c r="C206" s="562"/>
      <c r="D206" s="562"/>
      <c r="E206" s="562"/>
      <c r="I206" s="563"/>
      <c r="J206" s="563"/>
      <c r="K206" s="564"/>
      <c r="L206" s="565"/>
    </row>
    <row r="207" spans="1:12" s="452" customFormat="1" ht="11.25">
      <c r="A207" s="562"/>
      <c r="B207" s="562"/>
      <c r="C207" s="562"/>
      <c r="D207" s="562"/>
      <c r="E207" s="562"/>
      <c r="I207" s="563"/>
      <c r="J207" s="563"/>
      <c r="K207" s="564"/>
      <c r="L207" s="565"/>
    </row>
    <row r="208" spans="1:12" s="452" customFormat="1" ht="11.25">
      <c r="A208" s="562"/>
      <c r="B208" s="562"/>
      <c r="C208" s="562"/>
      <c r="D208" s="562"/>
      <c r="E208" s="562"/>
      <c r="I208" s="563"/>
      <c r="J208" s="563"/>
      <c r="K208" s="564"/>
      <c r="L208" s="565"/>
    </row>
    <row r="209" spans="1:12" s="452" customFormat="1" ht="11.25">
      <c r="A209" s="562"/>
      <c r="B209" s="562"/>
      <c r="C209" s="562"/>
      <c r="D209" s="562"/>
      <c r="E209" s="562"/>
      <c r="I209" s="563"/>
      <c r="J209" s="563"/>
      <c r="K209" s="564"/>
      <c r="L209" s="565"/>
    </row>
    <row r="210" spans="1:12" s="452" customFormat="1" ht="11.25">
      <c r="A210" s="562"/>
      <c r="B210" s="562"/>
      <c r="C210" s="562"/>
      <c r="D210" s="562"/>
      <c r="E210" s="562"/>
      <c r="I210" s="563"/>
      <c r="J210" s="563"/>
      <c r="K210" s="564"/>
      <c r="L210" s="565"/>
    </row>
    <row r="211" spans="1:12" s="452" customFormat="1" ht="11.25">
      <c r="A211" s="562"/>
      <c r="B211" s="562"/>
      <c r="C211" s="562"/>
      <c r="D211" s="562"/>
      <c r="E211" s="562"/>
      <c r="I211" s="563"/>
      <c r="J211" s="563"/>
      <c r="K211" s="564"/>
      <c r="L211" s="565"/>
    </row>
    <row r="212" spans="1:12" s="452" customFormat="1" ht="11.25">
      <c r="A212" s="562"/>
      <c r="B212" s="562"/>
      <c r="C212" s="562"/>
      <c r="D212" s="562"/>
      <c r="E212" s="562"/>
      <c r="I212" s="563"/>
      <c r="J212" s="563"/>
      <c r="K212" s="564"/>
      <c r="L212" s="565"/>
    </row>
    <row r="213" spans="1:12" s="452" customFormat="1" ht="11.25">
      <c r="A213" s="562"/>
      <c r="B213" s="562"/>
      <c r="C213" s="562"/>
      <c r="D213" s="562"/>
      <c r="E213" s="562"/>
      <c r="I213" s="563"/>
      <c r="J213" s="563"/>
      <c r="K213" s="564"/>
      <c r="L213" s="565"/>
    </row>
    <row r="214" spans="1:12" s="452" customFormat="1" ht="11.25">
      <c r="A214" s="562"/>
      <c r="B214" s="562"/>
      <c r="C214" s="562"/>
      <c r="D214" s="562"/>
      <c r="E214" s="562"/>
      <c r="I214" s="563"/>
      <c r="J214" s="563"/>
      <c r="K214" s="564"/>
      <c r="L214" s="565"/>
    </row>
    <row r="215" spans="1:12" s="452" customFormat="1" ht="11.25">
      <c r="A215" s="562"/>
      <c r="B215" s="562"/>
      <c r="C215" s="562"/>
      <c r="D215" s="562"/>
      <c r="E215" s="562"/>
      <c r="I215" s="563"/>
      <c r="J215" s="563"/>
      <c r="K215" s="564"/>
      <c r="L215" s="565"/>
    </row>
    <row r="216" spans="1:12" s="452" customFormat="1" ht="11.25">
      <c r="A216" s="562"/>
      <c r="B216" s="562"/>
      <c r="C216" s="562"/>
      <c r="D216" s="562"/>
      <c r="E216" s="562"/>
      <c r="I216" s="563"/>
      <c r="J216" s="563"/>
      <c r="K216" s="564"/>
      <c r="L216" s="565"/>
    </row>
    <row r="224" spans="1:12" s="452" customFormat="1">
      <c r="A224" s="567"/>
      <c r="B224" s="567"/>
      <c r="C224" s="567"/>
      <c r="D224" s="567"/>
      <c r="E224" s="567"/>
      <c r="F224" s="414"/>
      <c r="I224" s="563"/>
      <c r="J224" s="563"/>
      <c r="K224" s="564"/>
      <c r="L224" s="565"/>
    </row>
    <row r="225" spans="1:12" s="452" customFormat="1">
      <c r="A225" s="567"/>
      <c r="B225" s="567"/>
      <c r="C225" s="567"/>
      <c r="D225" s="567"/>
      <c r="E225" s="567"/>
      <c r="F225" s="414"/>
      <c r="I225" s="563"/>
      <c r="J225" s="563"/>
      <c r="K225" s="564"/>
      <c r="L225" s="565"/>
    </row>
    <row r="226" spans="1:12" s="452" customFormat="1">
      <c r="A226" s="567"/>
      <c r="B226" s="567"/>
      <c r="C226" s="567"/>
      <c r="D226" s="567"/>
      <c r="E226" s="567"/>
      <c r="F226" s="414"/>
      <c r="I226" s="563"/>
      <c r="J226" s="563"/>
      <c r="K226" s="564"/>
      <c r="L226" s="565"/>
    </row>
    <row r="227" spans="1:12" s="452" customFormat="1">
      <c r="A227" s="567"/>
      <c r="B227" s="567"/>
      <c r="C227" s="567"/>
      <c r="D227" s="567"/>
      <c r="E227" s="567"/>
      <c r="F227" s="414"/>
      <c r="I227" s="563"/>
      <c r="J227" s="563"/>
      <c r="K227" s="564"/>
      <c r="L227" s="565"/>
    </row>
    <row r="228" spans="1:12" s="452" customFormat="1">
      <c r="A228" s="567"/>
      <c r="B228" s="567"/>
      <c r="C228" s="567"/>
      <c r="D228" s="567"/>
      <c r="E228" s="567"/>
      <c r="F228" s="414"/>
      <c r="I228" s="563"/>
      <c r="J228" s="563"/>
      <c r="K228" s="564"/>
      <c r="L228" s="565"/>
    </row>
    <row r="229" spans="1:12" s="452" customFormat="1">
      <c r="A229" s="567"/>
      <c r="B229" s="567"/>
      <c r="C229" s="567"/>
      <c r="D229" s="567"/>
      <c r="E229" s="567"/>
      <c r="F229" s="414"/>
      <c r="I229" s="563"/>
      <c r="J229" s="563"/>
      <c r="K229" s="564"/>
      <c r="L229" s="565"/>
    </row>
    <row r="230" spans="1:12" s="452" customFormat="1">
      <c r="A230" s="567"/>
      <c r="B230" s="567"/>
      <c r="C230" s="567"/>
      <c r="D230" s="567"/>
      <c r="E230" s="567"/>
      <c r="F230" s="414"/>
      <c r="I230" s="563"/>
      <c r="J230" s="563"/>
      <c r="K230" s="564"/>
      <c r="L230" s="565"/>
    </row>
    <row r="231" spans="1:12" s="452" customFormat="1">
      <c r="A231" s="567"/>
      <c r="B231" s="567"/>
      <c r="C231" s="567"/>
      <c r="D231" s="567"/>
      <c r="E231" s="567"/>
      <c r="F231" s="414"/>
      <c r="I231" s="563"/>
      <c r="J231" s="563"/>
      <c r="K231" s="564"/>
      <c r="L231" s="565"/>
    </row>
    <row r="232" spans="1:12" s="452" customFormat="1">
      <c r="A232" s="567"/>
      <c r="B232" s="567"/>
      <c r="C232" s="567"/>
      <c r="D232" s="567"/>
      <c r="E232" s="567"/>
      <c r="F232" s="414"/>
      <c r="I232" s="563"/>
      <c r="J232" s="563"/>
      <c r="K232" s="564"/>
      <c r="L232" s="565"/>
    </row>
    <row r="233" spans="1:12" s="452" customFormat="1">
      <c r="A233" s="567"/>
      <c r="B233" s="567"/>
      <c r="C233" s="567"/>
      <c r="D233" s="567"/>
      <c r="E233" s="567"/>
      <c r="F233" s="414"/>
      <c r="I233" s="563"/>
      <c r="J233" s="563"/>
      <c r="K233" s="564"/>
      <c r="L233" s="565"/>
    </row>
    <row r="234" spans="1:12" s="452" customFormat="1">
      <c r="A234" s="567"/>
      <c r="B234" s="567"/>
      <c r="C234" s="567"/>
      <c r="D234" s="567"/>
      <c r="E234" s="567"/>
      <c r="F234" s="414"/>
      <c r="I234" s="563"/>
      <c r="J234" s="563"/>
      <c r="K234" s="564"/>
      <c r="L234" s="565"/>
    </row>
    <row r="235" spans="1:12" s="452" customFormat="1">
      <c r="A235" s="567"/>
      <c r="B235" s="567"/>
      <c r="C235" s="567"/>
      <c r="D235" s="567"/>
      <c r="E235" s="567"/>
      <c r="F235" s="414"/>
      <c r="I235" s="563"/>
      <c r="J235" s="563"/>
      <c r="K235" s="564"/>
      <c r="L235" s="565"/>
    </row>
    <row r="236" spans="1:12" s="452" customFormat="1">
      <c r="A236" s="567"/>
      <c r="B236" s="567"/>
      <c r="C236" s="567"/>
      <c r="D236" s="567"/>
      <c r="E236" s="567"/>
      <c r="F236" s="414"/>
      <c r="I236" s="563"/>
      <c r="J236" s="563"/>
      <c r="K236" s="564"/>
      <c r="L236" s="565"/>
    </row>
    <row r="237" spans="1:12" s="452" customFormat="1">
      <c r="A237" s="567"/>
      <c r="B237" s="567"/>
      <c r="C237" s="567"/>
      <c r="D237" s="567"/>
      <c r="E237" s="567"/>
      <c r="F237" s="414"/>
      <c r="I237" s="563"/>
      <c r="J237" s="563"/>
      <c r="K237" s="564"/>
      <c r="L237" s="565"/>
    </row>
    <row r="238" spans="1:12" s="452" customFormat="1">
      <c r="A238" s="567"/>
      <c r="B238" s="567"/>
      <c r="C238" s="567"/>
      <c r="D238" s="567"/>
      <c r="E238" s="567"/>
      <c r="F238" s="414"/>
      <c r="I238" s="563"/>
      <c r="J238" s="563"/>
      <c r="K238" s="564"/>
      <c r="L238" s="565"/>
    </row>
    <row r="239" spans="1:12" s="452" customFormat="1">
      <c r="A239" s="567"/>
      <c r="B239" s="567"/>
      <c r="C239" s="567"/>
      <c r="D239" s="567"/>
      <c r="E239" s="567"/>
      <c r="F239" s="414"/>
      <c r="I239" s="563"/>
      <c r="J239" s="563"/>
      <c r="K239" s="564"/>
      <c r="L239" s="565"/>
    </row>
    <row r="240" spans="1:12" s="452" customFormat="1">
      <c r="A240" s="567"/>
      <c r="B240" s="567"/>
      <c r="C240" s="567"/>
      <c r="D240" s="567"/>
      <c r="E240" s="567"/>
      <c r="F240" s="414"/>
      <c r="I240" s="563"/>
      <c r="J240" s="563"/>
      <c r="K240" s="564"/>
      <c r="L240" s="565"/>
    </row>
    <row r="241" spans="1:12" s="452" customFormat="1">
      <c r="A241" s="567"/>
      <c r="B241" s="567"/>
      <c r="C241" s="567"/>
      <c r="D241" s="567"/>
      <c r="E241" s="567"/>
      <c r="F241" s="414"/>
      <c r="I241" s="563"/>
      <c r="J241" s="563"/>
      <c r="K241" s="564"/>
      <c r="L241" s="565"/>
    </row>
    <row r="242" spans="1:12" s="452" customFormat="1">
      <c r="A242" s="567"/>
      <c r="B242" s="567"/>
      <c r="C242" s="567"/>
      <c r="D242" s="567"/>
      <c r="E242" s="567"/>
      <c r="F242" s="414"/>
      <c r="I242" s="563"/>
      <c r="J242" s="563"/>
      <c r="K242" s="564"/>
      <c r="L242" s="565"/>
    </row>
    <row r="243" spans="1:12" s="452" customFormat="1">
      <c r="A243" s="567"/>
      <c r="B243" s="567"/>
      <c r="C243" s="567"/>
      <c r="D243" s="567"/>
      <c r="E243" s="567"/>
      <c r="F243" s="414"/>
      <c r="I243" s="563"/>
      <c r="J243" s="563"/>
      <c r="K243" s="564"/>
      <c r="L243" s="565"/>
    </row>
    <row r="244" spans="1:12" s="452" customFormat="1">
      <c r="A244" s="567"/>
      <c r="B244" s="567"/>
      <c r="C244" s="567"/>
      <c r="D244" s="567"/>
      <c r="E244" s="567"/>
      <c r="F244" s="414"/>
      <c r="I244" s="563"/>
      <c r="J244" s="563"/>
      <c r="K244" s="564"/>
      <c r="L244" s="565"/>
    </row>
    <row r="245" spans="1:12" s="452" customFormat="1">
      <c r="A245" s="567"/>
      <c r="B245" s="567"/>
      <c r="C245" s="567"/>
      <c r="D245" s="567"/>
      <c r="E245" s="567"/>
      <c r="F245" s="414"/>
      <c r="I245" s="563"/>
      <c r="J245" s="563"/>
      <c r="K245" s="564"/>
      <c r="L245" s="565"/>
    </row>
    <row r="246" spans="1:12" s="452" customFormat="1">
      <c r="A246" s="567"/>
      <c r="B246" s="567"/>
      <c r="C246" s="567"/>
      <c r="D246" s="567"/>
      <c r="E246" s="567"/>
      <c r="F246" s="414"/>
      <c r="I246" s="563"/>
      <c r="J246" s="563"/>
      <c r="K246" s="564"/>
      <c r="L246" s="565"/>
    </row>
    <row r="247" spans="1:12" s="452" customFormat="1">
      <c r="A247" s="567"/>
      <c r="B247" s="567"/>
      <c r="C247" s="567"/>
      <c r="D247" s="567"/>
      <c r="E247" s="567"/>
      <c r="F247" s="414"/>
      <c r="I247" s="563"/>
      <c r="J247" s="563"/>
      <c r="K247" s="564"/>
      <c r="L247" s="565"/>
    </row>
    <row r="248" spans="1:12" s="452" customFormat="1">
      <c r="A248" s="567"/>
      <c r="B248" s="567"/>
      <c r="C248" s="567"/>
      <c r="D248" s="567"/>
      <c r="E248" s="567"/>
      <c r="F248" s="414"/>
      <c r="I248" s="563"/>
      <c r="J248" s="563"/>
      <c r="K248" s="564"/>
      <c r="L248" s="565"/>
    </row>
    <row r="249" spans="1:12" s="452" customFormat="1">
      <c r="A249" s="567"/>
      <c r="B249" s="567"/>
      <c r="C249" s="567"/>
      <c r="D249" s="567"/>
      <c r="E249" s="567"/>
      <c r="F249" s="414"/>
      <c r="I249" s="563"/>
      <c r="J249" s="563"/>
      <c r="K249" s="564"/>
      <c r="L249" s="565"/>
    </row>
    <row r="250" spans="1:12" s="452" customFormat="1">
      <c r="A250" s="567"/>
      <c r="B250" s="567"/>
      <c r="C250" s="567"/>
      <c r="D250" s="567"/>
      <c r="E250" s="567"/>
      <c r="F250" s="414"/>
      <c r="I250" s="563"/>
      <c r="J250" s="563"/>
      <c r="K250" s="564"/>
      <c r="L250" s="565"/>
    </row>
    <row r="251" spans="1:12" s="452" customFormat="1">
      <c r="A251" s="567"/>
      <c r="B251" s="567"/>
      <c r="C251" s="567"/>
      <c r="D251" s="567"/>
      <c r="E251" s="567"/>
      <c r="F251" s="414"/>
      <c r="I251" s="563"/>
      <c r="J251" s="563"/>
      <c r="K251" s="564"/>
      <c r="L251" s="565"/>
    </row>
    <row r="252" spans="1:12" s="452" customFormat="1">
      <c r="A252" s="567"/>
      <c r="B252" s="567"/>
      <c r="C252" s="567"/>
      <c r="D252" s="567"/>
      <c r="E252" s="567"/>
      <c r="F252" s="414"/>
      <c r="I252" s="563"/>
      <c r="J252" s="563"/>
      <c r="K252" s="564"/>
      <c r="L252" s="565"/>
    </row>
    <row r="253" spans="1:12" s="452" customFormat="1">
      <c r="A253" s="567"/>
      <c r="B253" s="567"/>
      <c r="C253" s="567"/>
      <c r="D253" s="567"/>
      <c r="E253" s="567"/>
      <c r="F253" s="414"/>
      <c r="I253" s="563"/>
      <c r="J253" s="563"/>
      <c r="K253" s="564"/>
      <c r="L253" s="565"/>
    </row>
    <row r="254" spans="1:12" s="452" customFormat="1">
      <c r="A254" s="567"/>
      <c r="B254" s="567"/>
      <c r="C254" s="567"/>
      <c r="D254" s="567"/>
      <c r="E254" s="567"/>
      <c r="F254" s="414"/>
      <c r="I254" s="563"/>
      <c r="J254" s="563"/>
      <c r="K254" s="564"/>
      <c r="L254" s="565"/>
    </row>
    <row r="255" spans="1:12" s="452" customFormat="1">
      <c r="A255" s="567"/>
      <c r="B255" s="567"/>
      <c r="C255" s="567"/>
      <c r="D255" s="567"/>
      <c r="E255" s="567"/>
      <c r="F255" s="414"/>
      <c r="I255" s="563"/>
      <c r="J255" s="563"/>
      <c r="K255" s="564"/>
      <c r="L255" s="565"/>
    </row>
    <row r="256" spans="1:12" s="452" customFormat="1">
      <c r="A256" s="567"/>
      <c r="B256" s="567"/>
      <c r="C256" s="567"/>
      <c r="D256" s="567"/>
      <c r="E256" s="567"/>
      <c r="F256" s="414"/>
      <c r="I256" s="563"/>
      <c r="J256" s="563"/>
      <c r="K256" s="564"/>
      <c r="L256" s="565"/>
    </row>
    <row r="257" spans="1:12" s="452" customFormat="1">
      <c r="A257" s="567"/>
      <c r="B257" s="567"/>
      <c r="C257" s="567"/>
      <c r="D257" s="567"/>
      <c r="E257" s="567"/>
      <c r="F257" s="414"/>
      <c r="I257" s="563"/>
      <c r="J257" s="563"/>
      <c r="K257" s="564"/>
      <c r="L257" s="565"/>
    </row>
    <row r="258" spans="1:12" s="452" customFormat="1">
      <c r="A258" s="567"/>
      <c r="B258" s="567"/>
      <c r="C258" s="567"/>
      <c r="D258" s="567"/>
      <c r="E258" s="567"/>
      <c r="F258" s="414"/>
      <c r="I258" s="563"/>
      <c r="J258" s="563"/>
      <c r="K258" s="564"/>
      <c r="L258" s="565"/>
    </row>
    <row r="259" spans="1:12" s="452" customFormat="1">
      <c r="A259" s="567"/>
      <c r="B259" s="567"/>
      <c r="C259" s="567"/>
      <c r="D259" s="567"/>
      <c r="E259" s="567"/>
      <c r="F259" s="414"/>
      <c r="I259" s="563"/>
      <c r="J259" s="563"/>
      <c r="K259" s="564"/>
      <c r="L259" s="565"/>
    </row>
    <row r="260" spans="1:12" s="452" customFormat="1">
      <c r="A260" s="567"/>
      <c r="B260" s="567"/>
      <c r="C260" s="567"/>
      <c r="D260" s="567"/>
      <c r="E260" s="567"/>
      <c r="F260" s="414"/>
      <c r="I260" s="563"/>
      <c r="J260" s="563"/>
      <c r="K260" s="564"/>
      <c r="L260" s="565"/>
    </row>
    <row r="261" spans="1:12" s="452" customFormat="1">
      <c r="A261" s="567"/>
      <c r="B261" s="567"/>
      <c r="C261" s="567"/>
      <c r="D261" s="567"/>
      <c r="E261" s="567"/>
      <c r="F261" s="414"/>
      <c r="I261" s="563"/>
      <c r="J261" s="563"/>
      <c r="K261" s="564"/>
      <c r="L261" s="565"/>
    </row>
    <row r="262" spans="1:12" s="452" customFormat="1">
      <c r="A262" s="567"/>
      <c r="B262" s="567"/>
      <c r="C262" s="567"/>
      <c r="D262" s="567"/>
      <c r="E262" s="567"/>
      <c r="F262" s="414"/>
      <c r="I262" s="563"/>
      <c r="J262" s="563"/>
      <c r="K262" s="564"/>
      <c r="L262" s="565"/>
    </row>
    <row r="263" spans="1:12" s="452" customFormat="1">
      <c r="A263" s="567"/>
      <c r="B263" s="567"/>
      <c r="C263" s="567"/>
      <c r="D263" s="567"/>
      <c r="E263" s="567"/>
      <c r="F263" s="414"/>
      <c r="I263" s="563"/>
      <c r="J263" s="563"/>
      <c r="K263" s="564"/>
      <c r="L263" s="565"/>
    </row>
    <row r="264" spans="1:12" s="452" customFormat="1">
      <c r="A264" s="567"/>
      <c r="B264" s="567"/>
      <c r="C264" s="567"/>
      <c r="D264" s="567"/>
      <c r="E264" s="567"/>
      <c r="F264" s="414"/>
      <c r="I264" s="563"/>
      <c r="J264" s="563"/>
      <c r="K264" s="564"/>
      <c r="L264" s="565"/>
    </row>
    <row r="265" spans="1:12" s="452" customFormat="1">
      <c r="A265" s="567"/>
      <c r="B265" s="567"/>
      <c r="C265" s="567"/>
      <c r="D265" s="567"/>
      <c r="E265" s="567"/>
      <c r="F265" s="414"/>
      <c r="I265" s="563"/>
      <c r="J265" s="563"/>
      <c r="K265" s="564"/>
      <c r="L265" s="565"/>
    </row>
    <row r="266" spans="1:12" s="452" customFormat="1">
      <c r="A266" s="567"/>
      <c r="B266" s="567"/>
      <c r="C266" s="567"/>
      <c r="D266" s="567"/>
      <c r="E266" s="567"/>
      <c r="F266" s="414"/>
      <c r="I266" s="563"/>
      <c r="J266" s="563"/>
      <c r="K266" s="564"/>
      <c r="L266" s="565"/>
    </row>
    <row r="267" spans="1:12" s="452" customFormat="1">
      <c r="A267" s="567"/>
      <c r="B267" s="567"/>
      <c r="C267" s="567"/>
      <c r="D267" s="567"/>
      <c r="E267" s="567"/>
      <c r="F267" s="414"/>
      <c r="I267" s="563"/>
      <c r="J267" s="563"/>
      <c r="K267" s="564"/>
      <c r="L267" s="565"/>
    </row>
    <row r="268" spans="1:12" s="452" customFormat="1">
      <c r="A268" s="567"/>
      <c r="B268" s="567"/>
      <c r="C268" s="567"/>
      <c r="D268" s="567"/>
      <c r="E268" s="567"/>
      <c r="F268" s="414"/>
      <c r="I268" s="563"/>
      <c r="J268" s="563"/>
      <c r="K268" s="564"/>
      <c r="L268" s="565"/>
    </row>
    <row r="269" spans="1:12" s="452" customFormat="1">
      <c r="A269" s="567"/>
      <c r="B269" s="567"/>
      <c r="C269" s="567"/>
      <c r="D269" s="567"/>
      <c r="E269" s="567"/>
      <c r="F269" s="414"/>
      <c r="I269" s="563"/>
      <c r="J269" s="563"/>
      <c r="K269" s="564"/>
      <c r="L269" s="565"/>
    </row>
    <row r="270" spans="1:12" s="452" customFormat="1">
      <c r="A270" s="567"/>
      <c r="B270" s="567"/>
      <c r="C270" s="567"/>
      <c r="D270" s="567"/>
      <c r="E270" s="567"/>
      <c r="F270" s="414"/>
      <c r="I270" s="563"/>
      <c r="J270" s="563"/>
      <c r="K270" s="564"/>
      <c r="L270" s="565"/>
    </row>
    <row r="271" spans="1:12" s="452" customFormat="1">
      <c r="A271" s="567"/>
      <c r="B271" s="567"/>
      <c r="C271" s="567"/>
      <c r="D271" s="567"/>
      <c r="E271" s="567"/>
      <c r="F271" s="414"/>
      <c r="I271" s="563"/>
      <c r="J271" s="563"/>
      <c r="K271" s="564"/>
      <c r="L271" s="565"/>
    </row>
    <row r="272" spans="1:12" s="452" customFormat="1">
      <c r="A272" s="567"/>
      <c r="B272" s="567"/>
      <c r="C272" s="567"/>
      <c r="D272" s="567"/>
      <c r="E272" s="567"/>
      <c r="F272" s="414"/>
      <c r="I272" s="563"/>
      <c r="J272" s="563"/>
      <c r="K272" s="564"/>
      <c r="L272" s="565"/>
    </row>
    <row r="273" spans="1:12" s="452" customFormat="1">
      <c r="A273" s="567"/>
      <c r="B273" s="567"/>
      <c r="C273" s="567"/>
      <c r="D273" s="567"/>
      <c r="E273" s="567"/>
      <c r="F273" s="414"/>
      <c r="I273" s="563"/>
      <c r="J273" s="563"/>
      <c r="K273" s="564"/>
      <c r="L273" s="565"/>
    </row>
    <row r="274" spans="1:12" s="452" customFormat="1">
      <c r="A274" s="567"/>
      <c r="B274" s="567"/>
      <c r="C274" s="567"/>
      <c r="D274" s="567"/>
      <c r="E274" s="567"/>
      <c r="F274" s="414"/>
      <c r="I274" s="563"/>
      <c r="J274" s="563"/>
      <c r="K274" s="564"/>
      <c r="L274" s="565"/>
    </row>
    <row r="275" spans="1:12" s="452" customFormat="1">
      <c r="A275" s="567"/>
      <c r="B275" s="567"/>
      <c r="C275" s="567"/>
      <c r="D275" s="567"/>
      <c r="E275" s="567"/>
      <c r="F275" s="414"/>
      <c r="I275" s="563"/>
      <c r="J275" s="563"/>
      <c r="K275" s="564"/>
      <c r="L275" s="565"/>
    </row>
    <row r="276" spans="1:12" s="452" customFormat="1">
      <c r="A276" s="567"/>
      <c r="B276" s="567"/>
      <c r="C276" s="567"/>
      <c r="D276" s="567"/>
      <c r="E276" s="567"/>
      <c r="F276" s="414"/>
      <c r="I276" s="563"/>
      <c r="J276" s="563"/>
      <c r="K276" s="564"/>
      <c r="L276" s="565"/>
    </row>
    <row r="277" spans="1:12" s="452" customFormat="1">
      <c r="A277" s="567"/>
      <c r="B277" s="567"/>
      <c r="C277" s="567"/>
      <c r="D277" s="567"/>
      <c r="E277" s="567"/>
      <c r="F277" s="414"/>
      <c r="I277" s="563"/>
      <c r="J277" s="563"/>
      <c r="K277" s="564"/>
      <c r="L277" s="565"/>
    </row>
    <row r="278" spans="1:12" s="452" customFormat="1">
      <c r="A278" s="567"/>
      <c r="B278" s="567"/>
      <c r="C278" s="567"/>
      <c r="D278" s="567"/>
      <c r="E278" s="567"/>
      <c r="F278" s="414"/>
      <c r="I278" s="563"/>
      <c r="J278" s="563"/>
      <c r="K278" s="564"/>
      <c r="L278" s="565"/>
    </row>
    <row r="279" spans="1:12" s="452" customFormat="1">
      <c r="A279" s="567"/>
      <c r="B279" s="567"/>
      <c r="C279" s="567"/>
      <c r="D279" s="567"/>
      <c r="E279" s="567"/>
      <c r="F279" s="414"/>
      <c r="I279" s="563"/>
      <c r="J279" s="563"/>
      <c r="K279" s="564"/>
      <c r="L279" s="565"/>
    </row>
    <row r="280" spans="1:12" s="452" customFormat="1">
      <c r="A280" s="567"/>
      <c r="B280" s="567"/>
      <c r="C280" s="567"/>
      <c r="D280" s="567"/>
      <c r="E280" s="567"/>
      <c r="F280" s="414"/>
      <c r="I280" s="563"/>
      <c r="J280" s="563"/>
      <c r="K280" s="564"/>
      <c r="L280" s="565"/>
    </row>
  </sheetData>
  <mergeCells count="32">
    <mergeCell ref="A167:H167"/>
    <mergeCell ref="D145:F145"/>
    <mergeCell ref="D146:F146"/>
    <mergeCell ref="D147:F147"/>
    <mergeCell ref="A155:H155"/>
    <mergeCell ref="A159:H159"/>
    <mergeCell ref="A161:H161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8"/>
  <sheetViews>
    <sheetView topLeftCell="A35" zoomScaleNormal="100" workbookViewId="0">
      <selection activeCell="J33" sqref="J33"/>
    </sheetView>
  </sheetViews>
  <sheetFormatPr defaultColWidth="9.140625" defaultRowHeight="19.5"/>
  <cols>
    <col min="1" max="1" width="7.5703125" style="61" customWidth="1"/>
    <col min="2" max="2" width="12" style="61" customWidth="1"/>
    <col min="3" max="3" width="79.5703125" style="60" customWidth="1"/>
    <col min="4" max="4" width="30.85546875" style="569" bestFit="1" customWidth="1"/>
    <col min="5" max="5" width="24.28515625" style="60" bestFit="1" customWidth="1"/>
    <col min="6" max="6" width="3.28515625" style="602" customWidth="1"/>
    <col min="7" max="7" width="3.28515625" style="728" customWidth="1"/>
    <col min="8" max="9" width="3.28515625" style="60" customWidth="1"/>
    <col min="10" max="10" width="16.140625" style="60" customWidth="1"/>
    <col min="11" max="11" width="6.28515625" style="60" customWidth="1"/>
    <col min="12" max="17" width="3" style="60" customWidth="1"/>
    <col min="18" max="21" width="3.28515625" style="60" customWidth="1"/>
    <col min="22" max="22" width="1.28515625" style="60" customWidth="1"/>
    <col min="23" max="23" width="5.28515625" style="60" customWidth="1"/>
    <col min="24" max="28" width="3.28515625" style="60" customWidth="1"/>
    <col min="29" max="29" width="9.140625" style="60" customWidth="1"/>
    <col min="30" max="198" width="9.140625" style="60"/>
    <col min="199" max="206" width="9.140625" style="60" customWidth="1"/>
    <col min="207" max="207" width="10.140625" style="60" customWidth="1"/>
    <col min="208" max="208" width="1" style="60" customWidth="1"/>
    <col min="209" max="211" width="3.28515625" style="60" customWidth="1"/>
    <col min="212" max="212" width="1.85546875" style="60" customWidth="1"/>
    <col min="213" max="213" width="17.85546875" style="60" customWidth="1"/>
    <col min="214" max="214" width="1.85546875" style="60" customWidth="1"/>
    <col min="215" max="217" width="3.28515625" style="60" customWidth="1"/>
    <col min="218" max="218" width="2.85546875" style="60" customWidth="1"/>
    <col min="219" max="219" width="1.85546875" style="60" customWidth="1"/>
    <col min="220" max="220" width="19.7109375" style="60" customWidth="1"/>
    <col min="221" max="221" width="1.85546875" style="60" customWidth="1"/>
    <col min="222" max="224" width="3" style="60" customWidth="1"/>
    <col min="225" max="225" width="4.42578125" style="60" customWidth="1"/>
    <col min="226" max="227" width="3" style="60" customWidth="1"/>
    <col min="228" max="233" width="3.28515625" style="60" customWidth="1"/>
    <col min="234" max="235" width="9.140625" style="60" customWidth="1"/>
    <col min="236" max="239" width="3.28515625" style="60" customWidth="1"/>
    <col min="240" max="240" width="4.140625" style="60" customWidth="1"/>
    <col min="241" max="241" width="1.7109375" style="60" customWidth="1"/>
    <col min="242" max="246" width="3.28515625" style="60" customWidth="1"/>
    <col min="247" max="247" width="1.7109375" style="60" customWidth="1"/>
    <col min="248" max="252" width="3.28515625" style="60" customWidth="1"/>
    <col min="253" max="258" width="9.140625" style="60" customWidth="1"/>
    <col min="259" max="259" width="1.7109375" style="60" customWidth="1"/>
    <col min="260" max="264" width="3.28515625" style="60" customWidth="1"/>
    <col min="265" max="265" width="1.7109375" style="60" customWidth="1"/>
    <col min="266" max="266" width="16.5703125" style="60" bestFit="1" customWidth="1"/>
    <col min="267" max="268" width="10.28515625" style="60" customWidth="1"/>
    <col min="269" max="269" width="18" style="60" bestFit="1" customWidth="1"/>
    <col min="270" max="454" width="9.140625" style="60"/>
    <col min="455" max="462" width="9.140625" style="60" customWidth="1"/>
    <col min="463" max="463" width="10.140625" style="60" customWidth="1"/>
    <col min="464" max="464" width="1" style="60" customWidth="1"/>
    <col min="465" max="467" width="3.28515625" style="60" customWidth="1"/>
    <col min="468" max="468" width="1.85546875" style="60" customWidth="1"/>
    <col min="469" max="469" width="17.85546875" style="60" customWidth="1"/>
    <col min="470" max="470" width="1.85546875" style="60" customWidth="1"/>
    <col min="471" max="473" width="3.28515625" style="60" customWidth="1"/>
    <col min="474" max="474" width="2.85546875" style="60" customWidth="1"/>
    <col min="475" max="475" width="1.85546875" style="60" customWidth="1"/>
    <col min="476" max="476" width="19.7109375" style="60" customWidth="1"/>
    <col min="477" max="477" width="1.85546875" style="60" customWidth="1"/>
    <col min="478" max="480" width="3" style="60" customWidth="1"/>
    <col min="481" max="481" width="4.42578125" style="60" customWidth="1"/>
    <col min="482" max="483" width="3" style="60" customWidth="1"/>
    <col min="484" max="489" width="3.28515625" style="60" customWidth="1"/>
    <col min="490" max="491" width="9.140625" style="60" customWidth="1"/>
    <col min="492" max="495" width="3.28515625" style="60" customWidth="1"/>
    <col min="496" max="496" width="4.140625" style="60" customWidth="1"/>
    <col min="497" max="497" width="1.7109375" style="60" customWidth="1"/>
    <col min="498" max="502" width="3.28515625" style="60" customWidth="1"/>
    <col min="503" max="503" width="1.7109375" style="60" customWidth="1"/>
    <col min="504" max="508" width="3.28515625" style="60" customWidth="1"/>
    <col min="509" max="514" width="9.140625" style="60" customWidth="1"/>
    <col min="515" max="515" width="1.7109375" style="60" customWidth="1"/>
    <col min="516" max="520" width="3.28515625" style="60" customWidth="1"/>
    <col min="521" max="521" width="1.7109375" style="60" customWidth="1"/>
    <col min="522" max="522" width="16.5703125" style="60" bestFit="1" customWidth="1"/>
    <col min="523" max="524" width="10.28515625" style="60" customWidth="1"/>
    <col min="525" max="525" width="18" style="60" bestFit="1" customWidth="1"/>
    <col min="526" max="710" width="9.140625" style="60"/>
    <col min="711" max="718" width="9.140625" style="60" customWidth="1"/>
    <col min="719" max="719" width="10.140625" style="60" customWidth="1"/>
    <col min="720" max="720" width="1" style="60" customWidth="1"/>
    <col min="721" max="723" width="3.28515625" style="60" customWidth="1"/>
    <col min="724" max="724" width="1.85546875" style="60" customWidth="1"/>
    <col min="725" max="725" width="17.85546875" style="60" customWidth="1"/>
    <col min="726" max="726" width="1.85546875" style="60" customWidth="1"/>
    <col min="727" max="729" width="3.28515625" style="60" customWidth="1"/>
    <col min="730" max="730" width="2.85546875" style="60" customWidth="1"/>
    <col min="731" max="731" width="1.85546875" style="60" customWidth="1"/>
    <col min="732" max="732" width="19.7109375" style="60" customWidth="1"/>
    <col min="733" max="733" width="1.85546875" style="60" customWidth="1"/>
    <col min="734" max="736" width="3" style="60" customWidth="1"/>
    <col min="737" max="737" width="4.42578125" style="60" customWidth="1"/>
    <col min="738" max="739" width="3" style="60" customWidth="1"/>
    <col min="740" max="745" width="3.28515625" style="60" customWidth="1"/>
    <col min="746" max="747" width="9.140625" style="60" customWidth="1"/>
    <col min="748" max="751" width="3.28515625" style="60" customWidth="1"/>
    <col min="752" max="752" width="4.140625" style="60" customWidth="1"/>
    <col min="753" max="753" width="1.7109375" style="60" customWidth="1"/>
    <col min="754" max="758" width="3.28515625" style="60" customWidth="1"/>
    <col min="759" max="759" width="1.7109375" style="60" customWidth="1"/>
    <col min="760" max="764" width="3.28515625" style="60" customWidth="1"/>
    <col min="765" max="770" width="9.140625" style="60" customWidth="1"/>
    <col min="771" max="771" width="1.7109375" style="60" customWidth="1"/>
    <col min="772" max="776" width="3.28515625" style="60" customWidth="1"/>
    <col min="777" max="777" width="1.7109375" style="60" customWidth="1"/>
    <col min="778" max="778" width="16.5703125" style="60" bestFit="1" customWidth="1"/>
    <col min="779" max="780" width="10.28515625" style="60" customWidth="1"/>
    <col min="781" max="781" width="18" style="60" bestFit="1" customWidth="1"/>
    <col min="782" max="966" width="9.140625" style="60"/>
    <col min="967" max="974" width="9.140625" style="60" customWidth="1"/>
    <col min="975" max="975" width="10.140625" style="60" customWidth="1"/>
    <col min="976" max="976" width="1" style="60" customWidth="1"/>
    <col min="977" max="979" width="3.28515625" style="60" customWidth="1"/>
    <col min="980" max="980" width="1.85546875" style="60" customWidth="1"/>
    <col min="981" max="981" width="17.85546875" style="60" customWidth="1"/>
    <col min="982" max="982" width="1.85546875" style="60" customWidth="1"/>
    <col min="983" max="985" width="3.28515625" style="60" customWidth="1"/>
    <col min="986" max="986" width="2.85546875" style="60" customWidth="1"/>
    <col min="987" max="987" width="1.85546875" style="60" customWidth="1"/>
    <col min="988" max="988" width="19.7109375" style="60" customWidth="1"/>
    <col min="989" max="989" width="1.85546875" style="60" customWidth="1"/>
    <col min="990" max="992" width="3" style="60" customWidth="1"/>
    <col min="993" max="993" width="4.42578125" style="60" customWidth="1"/>
    <col min="994" max="995" width="3" style="60" customWidth="1"/>
    <col min="996" max="1001" width="3.28515625" style="60" customWidth="1"/>
    <col min="1002" max="1003" width="9.140625" style="60" customWidth="1"/>
    <col min="1004" max="1007" width="3.28515625" style="60" customWidth="1"/>
    <col min="1008" max="1008" width="4.140625" style="60" customWidth="1"/>
    <col min="1009" max="1009" width="1.7109375" style="60" customWidth="1"/>
    <col min="1010" max="1014" width="3.28515625" style="60" customWidth="1"/>
    <col min="1015" max="1015" width="1.7109375" style="60" customWidth="1"/>
    <col min="1016" max="1020" width="3.28515625" style="60" customWidth="1"/>
    <col min="1021" max="1026" width="9.140625" style="60" customWidth="1"/>
    <col min="1027" max="1027" width="1.7109375" style="60" customWidth="1"/>
    <col min="1028" max="1032" width="3.28515625" style="60" customWidth="1"/>
    <col min="1033" max="1033" width="1.7109375" style="60" customWidth="1"/>
    <col min="1034" max="1034" width="16.5703125" style="60" bestFit="1" customWidth="1"/>
    <col min="1035" max="1036" width="10.28515625" style="60" customWidth="1"/>
    <col min="1037" max="1037" width="18" style="60" bestFit="1" customWidth="1"/>
    <col min="1038" max="1222" width="9.140625" style="60"/>
    <col min="1223" max="1230" width="9.140625" style="60" customWidth="1"/>
    <col min="1231" max="1231" width="10.140625" style="60" customWidth="1"/>
    <col min="1232" max="1232" width="1" style="60" customWidth="1"/>
    <col min="1233" max="1235" width="3.28515625" style="60" customWidth="1"/>
    <col min="1236" max="1236" width="1.85546875" style="60" customWidth="1"/>
    <col min="1237" max="1237" width="17.85546875" style="60" customWidth="1"/>
    <col min="1238" max="1238" width="1.85546875" style="60" customWidth="1"/>
    <col min="1239" max="1241" width="3.28515625" style="60" customWidth="1"/>
    <col min="1242" max="1242" width="2.85546875" style="60" customWidth="1"/>
    <col min="1243" max="1243" width="1.85546875" style="60" customWidth="1"/>
    <col min="1244" max="1244" width="19.7109375" style="60" customWidth="1"/>
    <col min="1245" max="1245" width="1.85546875" style="60" customWidth="1"/>
    <col min="1246" max="1248" width="3" style="60" customWidth="1"/>
    <col min="1249" max="1249" width="4.42578125" style="60" customWidth="1"/>
    <col min="1250" max="1251" width="3" style="60" customWidth="1"/>
    <col min="1252" max="1257" width="3.28515625" style="60" customWidth="1"/>
    <col min="1258" max="1259" width="9.140625" style="60" customWidth="1"/>
    <col min="1260" max="1263" width="3.28515625" style="60" customWidth="1"/>
    <col min="1264" max="1264" width="4.140625" style="60" customWidth="1"/>
    <col min="1265" max="1265" width="1.7109375" style="60" customWidth="1"/>
    <col min="1266" max="1270" width="3.28515625" style="60" customWidth="1"/>
    <col min="1271" max="1271" width="1.7109375" style="60" customWidth="1"/>
    <col min="1272" max="1276" width="3.28515625" style="60" customWidth="1"/>
    <col min="1277" max="1282" width="9.140625" style="60" customWidth="1"/>
    <col min="1283" max="1283" width="1.7109375" style="60" customWidth="1"/>
    <col min="1284" max="1288" width="3.28515625" style="60" customWidth="1"/>
    <col min="1289" max="1289" width="1.7109375" style="60" customWidth="1"/>
    <col min="1290" max="1290" width="16.5703125" style="60" bestFit="1" customWidth="1"/>
    <col min="1291" max="1292" width="10.28515625" style="60" customWidth="1"/>
    <col min="1293" max="1293" width="18" style="60" bestFit="1" customWidth="1"/>
    <col min="1294" max="1478" width="9.140625" style="60"/>
    <col min="1479" max="1486" width="9.140625" style="60" customWidth="1"/>
    <col min="1487" max="1487" width="10.140625" style="60" customWidth="1"/>
    <col min="1488" max="1488" width="1" style="60" customWidth="1"/>
    <col min="1489" max="1491" width="3.28515625" style="60" customWidth="1"/>
    <col min="1492" max="1492" width="1.85546875" style="60" customWidth="1"/>
    <col min="1493" max="1493" width="17.85546875" style="60" customWidth="1"/>
    <col min="1494" max="1494" width="1.85546875" style="60" customWidth="1"/>
    <col min="1495" max="1497" width="3.28515625" style="60" customWidth="1"/>
    <col min="1498" max="1498" width="2.85546875" style="60" customWidth="1"/>
    <col min="1499" max="1499" width="1.85546875" style="60" customWidth="1"/>
    <col min="1500" max="1500" width="19.7109375" style="60" customWidth="1"/>
    <col min="1501" max="1501" width="1.85546875" style="60" customWidth="1"/>
    <col min="1502" max="1504" width="3" style="60" customWidth="1"/>
    <col min="1505" max="1505" width="4.42578125" style="60" customWidth="1"/>
    <col min="1506" max="1507" width="3" style="60" customWidth="1"/>
    <col min="1508" max="1513" width="3.28515625" style="60" customWidth="1"/>
    <col min="1514" max="1515" width="9.140625" style="60" customWidth="1"/>
    <col min="1516" max="1519" width="3.28515625" style="60" customWidth="1"/>
    <col min="1520" max="1520" width="4.140625" style="60" customWidth="1"/>
    <col min="1521" max="1521" width="1.7109375" style="60" customWidth="1"/>
    <col min="1522" max="1526" width="3.28515625" style="60" customWidth="1"/>
    <col min="1527" max="1527" width="1.7109375" style="60" customWidth="1"/>
    <col min="1528" max="1532" width="3.28515625" style="60" customWidth="1"/>
    <col min="1533" max="1538" width="9.140625" style="60" customWidth="1"/>
    <col min="1539" max="1539" width="1.7109375" style="60" customWidth="1"/>
    <col min="1540" max="1544" width="3.28515625" style="60" customWidth="1"/>
    <col min="1545" max="1545" width="1.7109375" style="60" customWidth="1"/>
    <col min="1546" max="1546" width="16.5703125" style="60" bestFit="1" customWidth="1"/>
    <col min="1547" max="1548" width="10.28515625" style="60" customWidth="1"/>
    <col min="1549" max="1549" width="18" style="60" bestFit="1" customWidth="1"/>
    <col min="1550" max="1734" width="9.140625" style="60"/>
    <col min="1735" max="1742" width="9.140625" style="60" customWidth="1"/>
    <col min="1743" max="1743" width="10.140625" style="60" customWidth="1"/>
    <col min="1744" max="1744" width="1" style="60" customWidth="1"/>
    <col min="1745" max="1747" width="3.28515625" style="60" customWidth="1"/>
    <col min="1748" max="1748" width="1.85546875" style="60" customWidth="1"/>
    <col min="1749" max="1749" width="17.85546875" style="60" customWidth="1"/>
    <col min="1750" max="1750" width="1.85546875" style="60" customWidth="1"/>
    <col min="1751" max="1753" width="3.28515625" style="60" customWidth="1"/>
    <col min="1754" max="1754" width="2.85546875" style="60" customWidth="1"/>
    <col min="1755" max="1755" width="1.85546875" style="60" customWidth="1"/>
    <col min="1756" max="1756" width="19.7109375" style="60" customWidth="1"/>
    <col min="1757" max="1757" width="1.85546875" style="60" customWidth="1"/>
    <col min="1758" max="1760" width="3" style="60" customWidth="1"/>
    <col min="1761" max="1761" width="4.42578125" style="60" customWidth="1"/>
    <col min="1762" max="1763" width="3" style="60" customWidth="1"/>
    <col min="1764" max="1769" width="3.28515625" style="60" customWidth="1"/>
    <col min="1770" max="1771" width="9.140625" style="60" customWidth="1"/>
    <col min="1772" max="1775" width="3.28515625" style="60" customWidth="1"/>
    <col min="1776" max="1776" width="4.140625" style="60" customWidth="1"/>
    <col min="1777" max="1777" width="1.7109375" style="60" customWidth="1"/>
    <col min="1778" max="1782" width="3.28515625" style="60" customWidth="1"/>
    <col min="1783" max="1783" width="1.7109375" style="60" customWidth="1"/>
    <col min="1784" max="1788" width="3.28515625" style="60" customWidth="1"/>
    <col min="1789" max="1794" width="9.140625" style="60" customWidth="1"/>
    <col min="1795" max="1795" width="1.7109375" style="60" customWidth="1"/>
    <col min="1796" max="1800" width="3.28515625" style="60" customWidth="1"/>
    <col min="1801" max="1801" width="1.7109375" style="60" customWidth="1"/>
    <col min="1802" max="1802" width="16.5703125" style="60" bestFit="1" customWidth="1"/>
    <col min="1803" max="1804" width="10.28515625" style="60" customWidth="1"/>
    <col min="1805" max="1805" width="18" style="60" bestFit="1" customWidth="1"/>
    <col min="1806" max="1990" width="9.140625" style="60"/>
    <col min="1991" max="1998" width="9.140625" style="60" customWidth="1"/>
    <col min="1999" max="1999" width="10.140625" style="60" customWidth="1"/>
    <col min="2000" max="2000" width="1" style="60" customWidth="1"/>
    <col min="2001" max="2003" width="3.28515625" style="60" customWidth="1"/>
    <col min="2004" max="2004" width="1.85546875" style="60" customWidth="1"/>
    <col min="2005" max="2005" width="17.85546875" style="60" customWidth="1"/>
    <col min="2006" max="2006" width="1.85546875" style="60" customWidth="1"/>
    <col min="2007" max="2009" width="3.28515625" style="60" customWidth="1"/>
    <col min="2010" max="2010" width="2.85546875" style="60" customWidth="1"/>
    <col min="2011" max="2011" width="1.85546875" style="60" customWidth="1"/>
    <col min="2012" max="2012" width="19.7109375" style="60" customWidth="1"/>
    <col min="2013" max="2013" width="1.85546875" style="60" customWidth="1"/>
    <col min="2014" max="2016" width="3" style="60" customWidth="1"/>
    <col min="2017" max="2017" width="4.42578125" style="60" customWidth="1"/>
    <col min="2018" max="2019" width="3" style="60" customWidth="1"/>
    <col min="2020" max="2025" width="3.28515625" style="60" customWidth="1"/>
    <col min="2026" max="2027" width="9.140625" style="60" customWidth="1"/>
    <col min="2028" max="2031" width="3.28515625" style="60" customWidth="1"/>
    <col min="2032" max="2032" width="4.140625" style="60" customWidth="1"/>
    <col min="2033" max="2033" width="1.7109375" style="60" customWidth="1"/>
    <col min="2034" max="2038" width="3.28515625" style="60" customWidth="1"/>
    <col min="2039" max="2039" width="1.7109375" style="60" customWidth="1"/>
    <col min="2040" max="2044" width="3.28515625" style="60" customWidth="1"/>
    <col min="2045" max="2050" width="9.140625" style="60" customWidth="1"/>
    <col min="2051" max="2051" width="1.7109375" style="60" customWidth="1"/>
    <col min="2052" max="2056" width="3.28515625" style="60" customWidth="1"/>
    <col min="2057" max="2057" width="1.7109375" style="60" customWidth="1"/>
    <col min="2058" max="2058" width="16.5703125" style="60" bestFit="1" customWidth="1"/>
    <col min="2059" max="2060" width="10.28515625" style="60" customWidth="1"/>
    <col min="2061" max="2061" width="18" style="60" bestFit="1" customWidth="1"/>
    <col min="2062" max="2246" width="9.140625" style="60"/>
    <col min="2247" max="2254" width="9.140625" style="60" customWidth="1"/>
    <col min="2255" max="2255" width="10.140625" style="60" customWidth="1"/>
    <col min="2256" max="2256" width="1" style="60" customWidth="1"/>
    <col min="2257" max="2259" width="3.28515625" style="60" customWidth="1"/>
    <col min="2260" max="2260" width="1.85546875" style="60" customWidth="1"/>
    <col min="2261" max="2261" width="17.85546875" style="60" customWidth="1"/>
    <col min="2262" max="2262" width="1.85546875" style="60" customWidth="1"/>
    <col min="2263" max="2265" width="3.28515625" style="60" customWidth="1"/>
    <col min="2266" max="2266" width="2.85546875" style="60" customWidth="1"/>
    <col min="2267" max="2267" width="1.85546875" style="60" customWidth="1"/>
    <col min="2268" max="2268" width="19.7109375" style="60" customWidth="1"/>
    <col min="2269" max="2269" width="1.85546875" style="60" customWidth="1"/>
    <col min="2270" max="2272" width="3" style="60" customWidth="1"/>
    <col min="2273" max="2273" width="4.42578125" style="60" customWidth="1"/>
    <col min="2274" max="2275" width="3" style="60" customWidth="1"/>
    <col min="2276" max="2281" width="3.28515625" style="60" customWidth="1"/>
    <col min="2282" max="2283" width="9.140625" style="60" customWidth="1"/>
    <col min="2284" max="2287" width="3.28515625" style="60" customWidth="1"/>
    <col min="2288" max="2288" width="4.140625" style="60" customWidth="1"/>
    <col min="2289" max="2289" width="1.7109375" style="60" customWidth="1"/>
    <col min="2290" max="2294" width="3.28515625" style="60" customWidth="1"/>
    <col min="2295" max="2295" width="1.7109375" style="60" customWidth="1"/>
    <col min="2296" max="2300" width="3.28515625" style="60" customWidth="1"/>
    <col min="2301" max="2306" width="9.140625" style="60" customWidth="1"/>
    <col min="2307" max="2307" width="1.7109375" style="60" customWidth="1"/>
    <col min="2308" max="2312" width="3.28515625" style="60" customWidth="1"/>
    <col min="2313" max="2313" width="1.7109375" style="60" customWidth="1"/>
    <col min="2314" max="2314" width="16.5703125" style="60" bestFit="1" customWidth="1"/>
    <col min="2315" max="2316" width="10.28515625" style="60" customWidth="1"/>
    <col min="2317" max="2317" width="18" style="60" bestFit="1" customWidth="1"/>
    <col min="2318" max="2502" width="9.140625" style="60"/>
    <col min="2503" max="2510" width="9.140625" style="60" customWidth="1"/>
    <col min="2511" max="2511" width="10.140625" style="60" customWidth="1"/>
    <col min="2512" max="2512" width="1" style="60" customWidth="1"/>
    <col min="2513" max="2515" width="3.28515625" style="60" customWidth="1"/>
    <col min="2516" max="2516" width="1.85546875" style="60" customWidth="1"/>
    <col min="2517" max="2517" width="17.85546875" style="60" customWidth="1"/>
    <col min="2518" max="2518" width="1.85546875" style="60" customWidth="1"/>
    <col min="2519" max="2521" width="3.28515625" style="60" customWidth="1"/>
    <col min="2522" max="2522" width="2.85546875" style="60" customWidth="1"/>
    <col min="2523" max="2523" width="1.85546875" style="60" customWidth="1"/>
    <col min="2524" max="2524" width="19.7109375" style="60" customWidth="1"/>
    <col min="2525" max="2525" width="1.85546875" style="60" customWidth="1"/>
    <col min="2526" max="2528" width="3" style="60" customWidth="1"/>
    <col min="2529" max="2529" width="4.42578125" style="60" customWidth="1"/>
    <col min="2530" max="2531" width="3" style="60" customWidth="1"/>
    <col min="2532" max="2537" width="3.28515625" style="60" customWidth="1"/>
    <col min="2538" max="2539" width="9.140625" style="60" customWidth="1"/>
    <col min="2540" max="2543" width="3.28515625" style="60" customWidth="1"/>
    <col min="2544" max="2544" width="4.140625" style="60" customWidth="1"/>
    <col min="2545" max="2545" width="1.7109375" style="60" customWidth="1"/>
    <col min="2546" max="2550" width="3.28515625" style="60" customWidth="1"/>
    <col min="2551" max="2551" width="1.7109375" style="60" customWidth="1"/>
    <col min="2552" max="2556" width="3.28515625" style="60" customWidth="1"/>
    <col min="2557" max="2562" width="9.140625" style="60" customWidth="1"/>
    <col min="2563" max="2563" width="1.7109375" style="60" customWidth="1"/>
    <col min="2564" max="2568" width="3.28515625" style="60" customWidth="1"/>
    <col min="2569" max="2569" width="1.7109375" style="60" customWidth="1"/>
    <col min="2570" max="2570" width="16.5703125" style="60" bestFit="1" customWidth="1"/>
    <col min="2571" max="2572" width="10.28515625" style="60" customWidth="1"/>
    <col min="2573" max="2573" width="18" style="60" bestFit="1" customWidth="1"/>
    <col min="2574" max="2758" width="9.140625" style="60"/>
    <col min="2759" max="2766" width="9.140625" style="60" customWidth="1"/>
    <col min="2767" max="2767" width="10.140625" style="60" customWidth="1"/>
    <col min="2768" max="2768" width="1" style="60" customWidth="1"/>
    <col min="2769" max="2771" width="3.28515625" style="60" customWidth="1"/>
    <col min="2772" max="2772" width="1.85546875" style="60" customWidth="1"/>
    <col min="2773" max="2773" width="17.85546875" style="60" customWidth="1"/>
    <col min="2774" max="2774" width="1.85546875" style="60" customWidth="1"/>
    <col min="2775" max="2777" width="3.28515625" style="60" customWidth="1"/>
    <col min="2778" max="2778" width="2.85546875" style="60" customWidth="1"/>
    <col min="2779" max="2779" width="1.85546875" style="60" customWidth="1"/>
    <col min="2780" max="2780" width="19.7109375" style="60" customWidth="1"/>
    <col min="2781" max="2781" width="1.85546875" style="60" customWidth="1"/>
    <col min="2782" max="2784" width="3" style="60" customWidth="1"/>
    <col min="2785" max="2785" width="4.42578125" style="60" customWidth="1"/>
    <col min="2786" max="2787" width="3" style="60" customWidth="1"/>
    <col min="2788" max="2793" width="3.28515625" style="60" customWidth="1"/>
    <col min="2794" max="2795" width="9.140625" style="60" customWidth="1"/>
    <col min="2796" max="2799" width="3.28515625" style="60" customWidth="1"/>
    <col min="2800" max="2800" width="4.140625" style="60" customWidth="1"/>
    <col min="2801" max="2801" width="1.7109375" style="60" customWidth="1"/>
    <col min="2802" max="2806" width="3.28515625" style="60" customWidth="1"/>
    <col min="2807" max="2807" width="1.7109375" style="60" customWidth="1"/>
    <col min="2808" max="2812" width="3.28515625" style="60" customWidth="1"/>
    <col min="2813" max="2818" width="9.140625" style="60" customWidth="1"/>
    <col min="2819" max="2819" width="1.7109375" style="60" customWidth="1"/>
    <col min="2820" max="2824" width="3.28515625" style="60" customWidth="1"/>
    <col min="2825" max="2825" width="1.7109375" style="60" customWidth="1"/>
    <col min="2826" max="2826" width="16.5703125" style="60" bestFit="1" customWidth="1"/>
    <col min="2827" max="2828" width="10.28515625" style="60" customWidth="1"/>
    <col min="2829" max="2829" width="18" style="60" bestFit="1" customWidth="1"/>
    <col min="2830" max="3014" width="9.140625" style="60"/>
    <col min="3015" max="3022" width="9.140625" style="60" customWidth="1"/>
    <col min="3023" max="3023" width="10.140625" style="60" customWidth="1"/>
    <col min="3024" max="3024" width="1" style="60" customWidth="1"/>
    <col min="3025" max="3027" width="3.28515625" style="60" customWidth="1"/>
    <col min="3028" max="3028" width="1.85546875" style="60" customWidth="1"/>
    <col min="3029" max="3029" width="17.85546875" style="60" customWidth="1"/>
    <col min="3030" max="3030" width="1.85546875" style="60" customWidth="1"/>
    <col min="3031" max="3033" width="3.28515625" style="60" customWidth="1"/>
    <col min="3034" max="3034" width="2.85546875" style="60" customWidth="1"/>
    <col min="3035" max="3035" width="1.85546875" style="60" customWidth="1"/>
    <col min="3036" max="3036" width="19.7109375" style="60" customWidth="1"/>
    <col min="3037" max="3037" width="1.85546875" style="60" customWidth="1"/>
    <col min="3038" max="3040" width="3" style="60" customWidth="1"/>
    <col min="3041" max="3041" width="4.42578125" style="60" customWidth="1"/>
    <col min="3042" max="3043" width="3" style="60" customWidth="1"/>
    <col min="3044" max="3049" width="3.28515625" style="60" customWidth="1"/>
    <col min="3050" max="3051" width="9.140625" style="60" customWidth="1"/>
    <col min="3052" max="3055" width="3.28515625" style="60" customWidth="1"/>
    <col min="3056" max="3056" width="4.140625" style="60" customWidth="1"/>
    <col min="3057" max="3057" width="1.7109375" style="60" customWidth="1"/>
    <col min="3058" max="3062" width="3.28515625" style="60" customWidth="1"/>
    <col min="3063" max="3063" width="1.7109375" style="60" customWidth="1"/>
    <col min="3064" max="3068" width="3.28515625" style="60" customWidth="1"/>
    <col min="3069" max="3074" width="9.140625" style="60" customWidth="1"/>
    <col min="3075" max="3075" width="1.7109375" style="60" customWidth="1"/>
    <col min="3076" max="3080" width="3.28515625" style="60" customWidth="1"/>
    <col min="3081" max="3081" width="1.7109375" style="60" customWidth="1"/>
    <col min="3082" max="3082" width="16.5703125" style="60" bestFit="1" customWidth="1"/>
    <col min="3083" max="3084" width="10.28515625" style="60" customWidth="1"/>
    <col min="3085" max="3085" width="18" style="60" bestFit="1" customWidth="1"/>
    <col min="3086" max="3270" width="9.140625" style="60"/>
    <col min="3271" max="3278" width="9.140625" style="60" customWidth="1"/>
    <col min="3279" max="3279" width="10.140625" style="60" customWidth="1"/>
    <col min="3280" max="3280" width="1" style="60" customWidth="1"/>
    <col min="3281" max="3283" width="3.28515625" style="60" customWidth="1"/>
    <col min="3284" max="3284" width="1.85546875" style="60" customWidth="1"/>
    <col min="3285" max="3285" width="17.85546875" style="60" customWidth="1"/>
    <col min="3286" max="3286" width="1.85546875" style="60" customWidth="1"/>
    <col min="3287" max="3289" width="3.28515625" style="60" customWidth="1"/>
    <col min="3290" max="3290" width="2.85546875" style="60" customWidth="1"/>
    <col min="3291" max="3291" width="1.85546875" style="60" customWidth="1"/>
    <col min="3292" max="3292" width="19.7109375" style="60" customWidth="1"/>
    <col min="3293" max="3293" width="1.85546875" style="60" customWidth="1"/>
    <col min="3294" max="3296" width="3" style="60" customWidth="1"/>
    <col min="3297" max="3297" width="4.42578125" style="60" customWidth="1"/>
    <col min="3298" max="3299" width="3" style="60" customWidth="1"/>
    <col min="3300" max="3305" width="3.28515625" style="60" customWidth="1"/>
    <col min="3306" max="3307" width="9.140625" style="60" customWidth="1"/>
    <col min="3308" max="3311" width="3.28515625" style="60" customWidth="1"/>
    <col min="3312" max="3312" width="4.140625" style="60" customWidth="1"/>
    <col min="3313" max="3313" width="1.7109375" style="60" customWidth="1"/>
    <col min="3314" max="3318" width="3.28515625" style="60" customWidth="1"/>
    <col min="3319" max="3319" width="1.7109375" style="60" customWidth="1"/>
    <col min="3320" max="3324" width="3.28515625" style="60" customWidth="1"/>
    <col min="3325" max="3330" width="9.140625" style="60" customWidth="1"/>
    <col min="3331" max="3331" width="1.7109375" style="60" customWidth="1"/>
    <col min="3332" max="3336" width="3.28515625" style="60" customWidth="1"/>
    <col min="3337" max="3337" width="1.7109375" style="60" customWidth="1"/>
    <col min="3338" max="3338" width="16.5703125" style="60" bestFit="1" customWidth="1"/>
    <col min="3339" max="3340" width="10.28515625" style="60" customWidth="1"/>
    <col min="3341" max="3341" width="18" style="60" bestFit="1" customWidth="1"/>
    <col min="3342" max="3526" width="9.140625" style="60"/>
    <col min="3527" max="3534" width="9.140625" style="60" customWidth="1"/>
    <col min="3535" max="3535" width="10.140625" style="60" customWidth="1"/>
    <col min="3536" max="3536" width="1" style="60" customWidth="1"/>
    <col min="3537" max="3539" width="3.28515625" style="60" customWidth="1"/>
    <col min="3540" max="3540" width="1.85546875" style="60" customWidth="1"/>
    <col min="3541" max="3541" width="17.85546875" style="60" customWidth="1"/>
    <col min="3542" max="3542" width="1.85546875" style="60" customWidth="1"/>
    <col min="3543" max="3545" width="3.28515625" style="60" customWidth="1"/>
    <col min="3546" max="3546" width="2.85546875" style="60" customWidth="1"/>
    <col min="3547" max="3547" width="1.85546875" style="60" customWidth="1"/>
    <col min="3548" max="3548" width="19.7109375" style="60" customWidth="1"/>
    <col min="3549" max="3549" width="1.85546875" style="60" customWidth="1"/>
    <col min="3550" max="3552" width="3" style="60" customWidth="1"/>
    <col min="3553" max="3553" width="4.42578125" style="60" customWidth="1"/>
    <col min="3554" max="3555" width="3" style="60" customWidth="1"/>
    <col min="3556" max="3561" width="3.28515625" style="60" customWidth="1"/>
    <col min="3562" max="3563" width="9.140625" style="60" customWidth="1"/>
    <col min="3564" max="3567" width="3.28515625" style="60" customWidth="1"/>
    <col min="3568" max="3568" width="4.140625" style="60" customWidth="1"/>
    <col min="3569" max="3569" width="1.7109375" style="60" customWidth="1"/>
    <col min="3570" max="3574" width="3.28515625" style="60" customWidth="1"/>
    <col min="3575" max="3575" width="1.7109375" style="60" customWidth="1"/>
    <col min="3576" max="3580" width="3.28515625" style="60" customWidth="1"/>
    <col min="3581" max="3586" width="9.140625" style="60" customWidth="1"/>
    <col min="3587" max="3587" width="1.7109375" style="60" customWidth="1"/>
    <col min="3588" max="3592" width="3.28515625" style="60" customWidth="1"/>
    <col min="3593" max="3593" width="1.7109375" style="60" customWidth="1"/>
    <col min="3594" max="3594" width="16.5703125" style="60" bestFit="1" customWidth="1"/>
    <col min="3595" max="3596" width="10.28515625" style="60" customWidth="1"/>
    <col min="3597" max="3597" width="18" style="60" bestFit="1" customWidth="1"/>
    <col min="3598" max="3782" width="9.140625" style="60"/>
    <col min="3783" max="3790" width="9.140625" style="60" customWidth="1"/>
    <col min="3791" max="3791" width="10.140625" style="60" customWidth="1"/>
    <col min="3792" max="3792" width="1" style="60" customWidth="1"/>
    <col min="3793" max="3795" width="3.28515625" style="60" customWidth="1"/>
    <col min="3796" max="3796" width="1.85546875" style="60" customWidth="1"/>
    <col min="3797" max="3797" width="17.85546875" style="60" customWidth="1"/>
    <col min="3798" max="3798" width="1.85546875" style="60" customWidth="1"/>
    <col min="3799" max="3801" width="3.28515625" style="60" customWidth="1"/>
    <col min="3802" max="3802" width="2.85546875" style="60" customWidth="1"/>
    <col min="3803" max="3803" width="1.85546875" style="60" customWidth="1"/>
    <col min="3804" max="3804" width="19.7109375" style="60" customWidth="1"/>
    <col min="3805" max="3805" width="1.85546875" style="60" customWidth="1"/>
    <col min="3806" max="3808" width="3" style="60" customWidth="1"/>
    <col min="3809" max="3809" width="4.42578125" style="60" customWidth="1"/>
    <col min="3810" max="3811" width="3" style="60" customWidth="1"/>
    <col min="3812" max="3817" width="3.28515625" style="60" customWidth="1"/>
    <col min="3818" max="3819" width="9.140625" style="60" customWidth="1"/>
    <col min="3820" max="3823" width="3.28515625" style="60" customWidth="1"/>
    <col min="3824" max="3824" width="4.140625" style="60" customWidth="1"/>
    <col min="3825" max="3825" width="1.7109375" style="60" customWidth="1"/>
    <col min="3826" max="3830" width="3.28515625" style="60" customWidth="1"/>
    <col min="3831" max="3831" width="1.7109375" style="60" customWidth="1"/>
    <col min="3832" max="3836" width="3.28515625" style="60" customWidth="1"/>
    <col min="3837" max="3842" width="9.140625" style="60" customWidth="1"/>
    <col min="3843" max="3843" width="1.7109375" style="60" customWidth="1"/>
    <col min="3844" max="3848" width="3.28515625" style="60" customWidth="1"/>
    <col min="3849" max="3849" width="1.7109375" style="60" customWidth="1"/>
    <col min="3850" max="3850" width="16.5703125" style="60" bestFit="1" customWidth="1"/>
    <col min="3851" max="3852" width="10.28515625" style="60" customWidth="1"/>
    <col min="3853" max="3853" width="18" style="60" bestFit="1" customWidth="1"/>
    <col min="3854" max="4038" width="9.140625" style="60"/>
    <col min="4039" max="4046" width="9.140625" style="60" customWidth="1"/>
    <col min="4047" max="4047" width="10.140625" style="60" customWidth="1"/>
    <col min="4048" max="4048" width="1" style="60" customWidth="1"/>
    <col min="4049" max="4051" width="3.28515625" style="60" customWidth="1"/>
    <col min="4052" max="4052" width="1.85546875" style="60" customWidth="1"/>
    <col min="4053" max="4053" width="17.85546875" style="60" customWidth="1"/>
    <col min="4054" max="4054" width="1.85546875" style="60" customWidth="1"/>
    <col min="4055" max="4057" width="3.28515625" style="60" customWidth="1"/>
    <col min="4058" max="4058" width="2.85546875" style="60" customWidth="1"/>
    <col min="4059" max="4059" width="1.85546875" style="60" customWidth="1"/>
    <col min="4060" max="4060" width="19.7109375" style="60" customWidth="1"/>
    <col min="4061" max="4061" width="1.85546875" style="60" customWidth="1"/>
    <col min="4062" max="4064" width="3" style="60" customWidth="1"/>
    <col min="4065" max="4065" width="4.42578125" style="60" customWidth="1"/>
    <col min="4066" max="4067" width="3" style="60" customWidth="1"/>
    <col min="4068" max="4073" width="3.28515625" style="60" customWidth="1"/>
    <col min="4074" max="4075" width="9.140625" style="60" customWidth="1"/>
    <col min="4076" max="4079" width="3.28515625" style="60" customWidth="1"/>
    <col min="4080" max="4080" width="4.140625" style="60" customWidth="1"/>
    <col min="4081" max="4081" width="1.7109375" style="60" customWidth="1"/>
    <col min="4082" max="4086" width="3.28515625" style="60" customWidth="1"/>
    <col min="4087" max="4087" width="1.7109375" style="60" customWidth="1"/>
    <col min="4088" max="4092" width="3.28515625" style="60" customWidth="1"/>
    <col min="4093" max="4098" width="9.140625" style="60" customWidth="1"/>
    <col min="4099" max="4099" width="1.7109375" style="60" customWidth="1"/>
    <col min="4100" max="4104" width="3.28515625" style="60" customWidth="1"/>
    <col min="4105" max="4105" width="1.7109375" style="60" customWidth="1"/>
    <col min="4106" max="4106" width="16.5703125" style="60" bestFit="1" customWidth="1"/>
    <col min="4107" max="4108" width="10.28515625" style="60" customWidth="1"/>
    <col min="4109" max="4109" width="18" style="60" bestFit="1" customWidth="1"/>
    <col min="4110" max="4294" width="9.140625" style="60"/>
    <col min="4295" max="4302" width="9.140625" style="60" customWidth="1"/>
    <col min="4303" max="4303" width="10.140625" style="60" customWidth="1"/>
    <col min="4304" max="4304" width="1" style="60" customWidth="1"/>
    <col min="4305" max="4307" width="3.28515625" style="60" customWidth="1"/>
    <col min="4308" max="4308" width="1.85546875" style="60" customWidth="1"/>
    <col min="4309" max="4309" width="17.85546875" style="60" customWidth="1"/>
    <col min="4310" max="4310" width="1.85546875" style="60" customWidth="1"/>
    <col min="4311" max="4313" width="3.28515625" style="60" customWidth="1"/>
    <col min="4314" max="4314" width="2.85546875" style="60" customWidth="1"/>
    <col min="4315" max="4315" width="1.85546875" style="60" customWidth="1"/>
    <col min="4316" max="4316" width="19.7109375" style="60" customWidth="1"/>
    <col min="4317" max="4317" width="1.85546875" style="60" customWidth="1"/>
    <col min="4318" max="4320" width="3" style="60" customWidth="1"/>
    <col min="4321" max="4321" width="4.42578125" style="60" customWidth="1"/>
    <col min="4322" max="4323" width="3" style="60" customWidth="1"/>
    <col min="4324" max="4329" width="3.28515625" style="60" customWidth="1"/>
    <col min="4330" max="4331" width="9.140625" style="60" customWidth="1"/>
    <col min="4332" max="4335" width="3.28515625" style="60" customWidth="1"/>
    <col min="4336" max="4336" width="4.140625" style="60" customWidth="1"/>
    <col min="4337" max="4337" width="1.7109375" style="60" customWidth="1"/>
    <col min="4338" max="4342" width="3.28515625" style="60" customWidth="1"/>
    <col min="4343" max="4343" width="1.7109375" style="60" customWidth="1"/>
    <col min="4344" max="4348" width="3.28515625" style="60" customWidth="1"/>
    <col min="4349" max="4354" width="9.140625" style="60" customWidth="1"/>
    <col min="4355" max="4355" width="1.7109375" style="60" customWidth="1"/>
    <col min="4356" max="4360" width="3.28515625" style="60" customWidth="1"/>
    <col min="4361" max="4361" width="1.7109375" style="60" customWidth="1"/>
    <col min="4362" max="4362" width="16.5703125" style="60" bestFit="1" customWidth="1"/>
    <col min="4363" max="4364" width="10.28515625" style="60" customWidth="1"/>
    <col min="4365" max="4365" width="18" style="60" bestFit="1" customWidth="1"/>
    <col min="4366" max="4550" width="9.140625" style="60"/>
    <col min="4551" max="4558" width="9.140625" style="60" customWidth="1"/>
    <col min="4559" max="4559" width="10.140625" style="60" customWidth="1"/>
    <col min="4560" max="4560" width="1" style="60" customWidth="1"/>
    <col min="4561" max="4563" width="3.28515625" style="60" customWidth="1"/>
    <col min="4564" max="4564" width="1.85546875" style="60" customWidth="1"/>
    <col min="4565" max="4565" width="17.85546875" style="60" customWidth="1"/>
    <col min="4566" max="4566" width="1.85546875" style="60" customWidth="1"/>
    <col min="4567" max="4569" width="3.28515625" style="60" customWidth="1"/>
    <col min="4570" max="4570" width="2.85546875" style="60" customWidth="1"/>
    <col min="4571" max="4571" width="1.85546875" style="60" customWidth="1"/>
    <col min="4572" max="4572" width="19.7109375" style="60" customWidth="1"/>
    <col min="4573" max="4573" width="1.85546875" style="60" customWidth="1"/>
    <col min="4574" max="4576" width="3" style="60" customWidth="1"/>
    <col min="4577" max="4577" width="4.42578125" style="60" customWidth="1"/>
    <col min="4578" max="4579" width="3" style="60" customWidth="1"/>
    <col min="4580" max="4585" width="3.28515625" style="60" customWidth="1"/>
    <col min="4586" max="4587" width="9.140625" style="60" customWidth="1"/>
    <col min="4588" max="4591" width="3.28515625" style="60" customWidth="1"/>
    <col min="4592" max="4592" width="4.140625" style="60" customWidth="1"/>
    <col min="4593" max="4593" width="1.7109375" style="60" customWidth="1"/>
    <col min="4594" max="4598" width="3.28515625" style="60" customWidth="1"/>
    <col min="4599" max="4599" width="1.7109375" style="60" customWidth="1"/>
    <col min="4600" max="4604" width="3.28515625" style="60" customWidth="1"/>
    <col min="4605" max="4610" width="9.140625" style="60" customWidth="1"/>
    <col min="4611" max="4611" width="1.7109375" style="60" customWidth="1"/>
    <col min="4612" max="4616" width="3.28515625" style="60" customWidth="1"/>
    <col min="4617" max="4617" width="1.7109375" style="60" customWidth="1"/>
    <col min="4618" max="4618" width="16.5703125" style="60" bestFit="1" customWidth="1"/>
    <col min="4619" max="4620" width="10.28515625" style="60" customWidth="1"/>
    <col min="4621" max="4621" width="18" style="60" bestFit="1" customWidth="1"/>
    <col min="4622" max="4806" width="9.140625" style="60"/>
    <col min="4807" max="4814" width="9.140625" style="60" customWidth="1"/>
    <col min="4815" max="4815" width="10.140625" style="60" customWidth="1"/>
    <col min="4816" max="4816" width="1" style="60" customWidth="1"/>
    <col min="4817" max="4819" width="3.28515625" style="60" customWidth="1"/>
    <col min="4820" max="4820" width="1.85546875" style="60" customWidth="1"/>
    <col min="4821" max="4821" width="17.85546875" style="60" customWidth="1"/>
    <col min="4822" max="4822" width="1.85546875" style="60" customWidth="1"/>
    <col min="4823" max="4825" width="3.28515625" style="60" customWidth="1"/>
    <col min="4826" max="4826" width="2.85546875" style="60" customWidth="1"/>
    <col min="4827" max="4827" width="1.85546875" style="60" customWidth="1"/>
    <col min="4828" max="4828" width="19.7109375" style="60" customWidth="1"/>
    <col min="4829" max="4829" width="1.85546875" style="60" customWidth="1"/>
    <col min="4830" max="4832" width="3" style="60" customWidth="1"/>
    <col min="4833" max="4833" width="4.42578125" style="60" customWidth="1"/>
    <col min="4834" max="4835" width="3" style="60" customWidth="1"/>
    <col min="4836" max="4841" width="3.28515625" style="60" customWidth="1"/>
    <col min="4842" max="4843" width="9.140625" style="60" customWidth="1"/>
    <col min="4844" max="4847" width="3.28515625" style="60" customWidth="1"/>
    <col min="4848" max="4848" width="4.140625" style="60" customWidth="1"/>
    <col min="4849" max="4849" width="1.7109375" style="60" customWidth="1"/>
    <col min="4850" max="4854" width="3.28515625" style="60" customWidth="1"/>
    <col min="4855" max="4855" width="1.7109375" style="60" customWidth="1"/>
    <col min="4856" max="4860" width="3.28515625" style="60" customWidth="1"/>
    <col min="4861" max="4866" width="9.140625" style="60" customWidth="1"/>
    <col min="4867" max="4867" width="1.7109375" style="60" customWidth="1"/>
    <col min="4868" max="4872" width="3.28515625" style="60" customWidth="1"/>
    <col min="4873" max="4873" width="1.7109375" style="60" customWidth="1"/>
    <col min="4874" max="4874" width="16.5703125" style="60" bestFit="1" customWidth="1"/>
    <col min="4875" max="4876" width="10.28515625" style="60" customWidth="1"/>
    <col min="4877" max="4877" width="18" style="60" bestFit="1" customWidth="1"/>
    <col min="4878" max="5062" width="9.140625" style="60"/>
    <col min="5063" max="5070" width="9.140625" style="60" customWidth="1"/>
    <col min="5071" max="5071" width="10.140625" style="60" customWidth="1"/>
    <col min="5072" max="5072" width="1" style="60" customWidth="1"/>
    <col min="5073" max="5075" width="3.28515625" style="60" customWidth="1"/>
    <col min="5076" max="5076" width="1.85546875" style="60" customWidth="1"/>
    <col min="5077" max="5077" width="17.85546875" style="60" customWidth="1"/>
    <col min="5078" max="5078" width="1.85546875" style="60" customWidth="1"/>
    <col min="5079" max="5081" width="3.28515625" style="60" customWidth="1"/>
    <col min="5082" max="5082" width="2.85546875" style="60" customWidth="1"/>
    <col min="5083" max="5083" width="1.85546875" style="60" customWidth="1"/>
    <col min="5084" max="5084" width="19.7109375" style="60" customWidth="1"/>
    <col min="5085" max="5085" width="1.85546875" style="60" customWidth="1"/>
    <col min="5086" max="5088" width="3" style="60" customWidth="1"/>
    <col min="5089" max="5089" width="4.42578125" style="60" customWidth="1"/>
    <col min="5090" max="5091" width="3" style="60" customWidth="1"/>
    <col min="5092" max="5097" width="3.28515625" style="60" customWidth="1"/>
    <col min="5098" max="5099" width="9.140625" style="60" customWidth="1"/>
    <col min="5100" max="5103" width="3.28515625" style="60" customWidth="1"/>
    <col min="5104" max="5104" width="4.140625" style="60" customWidth="1"/>
    <col min="5105" max="5105" width="1.7109375" style="60" customWidth="1"/>
    <col min="5106" max="5110" width="3.28515625" style="60" customWidth="1"/>
    <col min="5111" max="5111" width="1.7109375" style="60" customWidth="1"/>
    <col min="5112" max="5116" width="3.28515625" style="60" customWidth="1"/>
    <col min="5117" max="5122" width="9.140625" style="60" customWidth="1"/>
    <col min="5123" max="5123" width="1.7109375" style="60" customWidth="1"/>
    <col min="5124" max="5128" width="3.28515625" style="60" customWidth="1"/>
    <col min="5129" max="5129" width="1.7109375" style="60" customWidth="1"/>
    <col min="5130" max="5130" width="16.5703125" style="60" bestFit="1" customWidth="1"/>
    <col min="5131" max="5132" width="10.28515625" style="60" customWidth="1"/>
    <col min="5133" max="5133" width="18" style="60" bestFit="1" customWidth="1"/>
    <col min="5134" max="5318" width="9.140625" style="60"/>
    <col min="5319" max="5326" width="9.140625" style="60" customWidth="1"/>
    <col min="5327" max="5327" width="10.140625" style="60" customWidth="1"/>
    <col min="5328" max="5328" width="1" style="60" customWidth="1"/>
    <col min="5329" max="5331" width="3.28515625" style="60" customWidth="1"/>
    <col min="5332" max="5332" width="1.85546875" style="60" customWidth="1"/>
    <col min="5333" max="5333" width="17.85546875" style="60" customWidth="1"/>
    <col min="5334" max="5334" width="1.85546875" style="60" customWidth="1"/>
    <col min="5335" max="5337" width="3.28515625" style="60" customWidth="1"/>
    <col min="5338" max="5338" width="2.85546875" style="60" customWidth="1"/>
    <col min="5339" max="5339" width="1.85546875" style="60" customWidth="1"/>
    <col min="5340" max="5340" width="19.7109375" style="60" customWidth="1"/>
    <col min="5341" max="5341" width="1.85546875" style="60" customWidth="1"/>
    <col min="5342" max="5344" width="3" style="60" customWidth="1"/>
    <col min="5345" max="5345" width="4.42578125" style="60" customWidth="1"/>
    <col min="5346" max="5347" width="3" style="60" customWidth="1"/>
    <col min="5348" max="5353" width="3.28515625" style="60" customWidth="1"/>
    <col min="5354" max="5355" width="9.140625" style="60" customWidth="1"/>
    <col min="5356" max="5359" width="3.28515625" style="60" customWidth="1"/>
    <col min="5360" max="5360" width="4.140625" style="60" customWidth="1"/>
    <col min="5361" max="5361" width="1.7109375" style="60" customWidth="1"/>
    <col min="5362" max="5366" width="3.28515625" style="60" customWidth="1"/>
    <col min="5367" max="5367" width="1.7109375" style="60" customWidth="1"/>
    <col min="5368" max="5372" width="3.28515625" style="60" customWidth="1"/>
    <col min="5373" max="5378" width="9.140625" style="60" customWidth="1"/>
    <col min="5379" max="5379" width="1.7109375" style="60" customWidth="1"/>
    <col min="5380" max="5384" width="3.28515625" style="60" customWidth="1"/>
    <col min="5385" max="5385" width="1.7109375" style="60" customWidth="1"/>
    <col min="5386" max="5386" width="16.5703125" style="60" bestFit="1" customWidth="1"/>
    <col min="5387" max="5388" width="10.28515625" style="60" customWidth="1"/>
    <col min="5389" max="5389" width="18" style="60" bestFit="1" customWidth="1"/>
    <col min="5390" max="5574" width="9.140625" style="60"/>
    <col min="5575" max="5582" width="9.140625" style="60" customWidth="1"/>
    <col min="5583" max="5583" width="10.140625" style="60" customWidth="1"/>
    <col min="5584" max="5584" width="1" style="60" customWidth="1"/>
    <col min="5585" max="5587" width="3.28515625" style="60" customWidth="1"/>
    <col min="5588" max="5588" width="1.85546875" style="60" customWidth="1"/>
    <col min="5589" max="5589" width="17.85546875" style="60" customWidth="1"/>
    <col min="5590" max="5590" width="1.85546875" style="60" customWidth="1"/>
    <col min="5591" max="5593" width="3.28515625" style="60" customWidth="1"/>
    <col min="5594" max="5594" width="2.85546875" style="60" customWidth="1"/>
    <col min="5595" max="5595" width="1.85546875" style="60" customWidth="1"/>
    <col min="5596" max="5596" width="19.7109375" style="60" customWidth="1"/>
    <col min="5597" max="5597" width="1.85546875" style="60" customWidth="1"/>
    <col min="5598" max="5600" width="3" style="60" customWidth="1"/>
    <col min="5601" max="5601" width="4.42578125" style="60" customWidth="1"/>
    <col min="5602" max="5603" width="3" style="60" customWidth="1"/>
    <col min="5604" max="5609" width="3.28515625" style="60" customWidth="1"/>
    <col min="5610" max="5611" width="9.140625" style="60" customWidth="1"/>
    <col min="5612" max="5615" width="3.28515625" style="60" customWidth="1"/>
    <col min="5616" max="5616" width="4.140625" style="60" customWidth="1"/>
    <col min="5617" max="5617" width="1.7109375" style="60" customWidth="1"/>
    <col min="5618" max="5622" width="3.28515625" style="60" customWidth="1"/>
    <col min="5623" max="5623" width="1.7109375" style="60" customWidth="1"/>
    <col min="5624" max="5628" width="3.28515625" style="60" customWidth="1"/>
    <col min="5629" max="5634" width="9.140625" style="60" customWidth="1"/>
    <col min="5635" max="5635" width="1.7109375" style="60" customWidth="1"/>
    <col min="5636" max="5640" width="3.28515625" style="60" customWidth="1"/>
    <col min="5641" max="5641" width="1.7109375" style="60" customWidth="1"/>
    <col min="5642" max="5642" width="16.5703125" style="60" bestFit="1" customWidth="1"/>
    <col min="5643" max="5644" width="10.28515625" style="60" customWidth="1"/>
    <col min="5645" max="5645" width="18" style="60" bestFit="1" customWidth="1"/>
    <col min="5646" max="5830" width="9.140625" style="60"/>
    <col min="5831" max="5838" width="9.140625" style="60" customWidth="1"/>
    <col min="5839" max="5839" width="10.140625" style="60" customWidth="1"/>
    <col min="5840" max="5840" width="1" style="60" customWidth="1"/>
    <col min="5841" max="5843" width="3.28515625" style="60" customWidth="1"/>
    <col min="5844" max="5844" width="1.85546875" style="60" customWidth="1"/>
    <col min="5845" max="5845" width="17.85546875" style="60" customWidth="1"/>
    <col min="5846" max="5846" width="1.85546875" style="60" customWidth="1"/>
    <col min="5847" max="5849" width="3.28515625" style="60" customWidth="1"/>
    <col min="5850" max="5850" width="2.85546875" style="60" customWidth="1"/>
    <col min="5851" max="5851" width="1.85546875" style="60" customWidth="1"/>
    <col min="5852" max="5852" width="19.7109375" style="60" customWidth="1"/>
    <col min="5853" max="5853" width="1.85546875" style="60" customWidth="1"/>
    <col min="5854" max="5856" width="3" style="60" customWidth="1"/>
    <col min="5857" max="5857" width="4.42578125" style="60" customWidth="1"/>
    <col min="5858" max="5859" width="3" style="60" customWidth="1"/>
    <col min="5860" max="5865" width="3.28515625" style="60" customWidth="1"/>
    <col min="5866" max="5867" width="9.140625" style="60" customWidth="1"/>
    <col min="5868" max="5871" width="3.28515625" style="60" customWidth="1"/>
    <col min="5872" max="5872" width="4.140625" style="60" customWidth="1"/>
    <col min="5873" max="5873" width="1.7109375" style="60" customWidth="1"/>
    <col min="5874" max="5878" width="3.28515625" style="60" customWidth="1"/>
    <col min="5879" max="5879" width="1.7109375" style="60" customWidth="1"/>
    <col min="5880" max="5884" width="3.28515625" style="60" customWidth="1"/>
    <col min="5885" max="5890" width="9.140625" style="60" customWidth="1"/>
    <col min="5891" max="5891" width="1.7109375" style="60" customWidth="1"/>
    <col min="5892" max="5896" width="3.28515625" style="60" customWidth="1"/>
    <col min="5897" max="5897" width="1.7109375" style="60" customWidth="1"/>
    <col min="5898" max="5898" width="16.5703125" style="60" bestFit="1" customWidth="1"/>
    <col min="5899" max="5900" width="10.28515625" style="60" customWidth="1"/>
    <col min="5901" max="5901" width="18" style="60" bestFit="1" customWidth="1"/>
    <col min="5902" max="6086" width="9.140625" style="60"/>
    <col min="6087" max="6094" width="9.140625" style="60" customWidth="1"/>
    <col min="6095" max="6095" width="10.140625" style="60" customWidth="1"/>
    <col min="6096" max="6096" width="1" style="60" customWidth="1"/>
    <col min="6097" max="6099" width="3.28515625" style="60" customWidth="1"/>
    <col min="6100" max="6100" width="1.85546875" style="60" customWidth="1"/>
    <col min="6101" max="6101" width="17.85546875" style="60" customWidth="1"/>
    <col min="6102" max="6102" width="1.85546875" style="60" customWidth="1"/>
    <col min="6103" max="6105" width="3.28515625" style="60" customWidth="1"/>
    <col min="6106" max="6106" width="2.85546875" style="60" customWidth="1"/>
    <col min="6107" max="6107" width="1.85546875" style="60" customWidth="1"/>
    <col min="6108" max="6108" width="19.7109375" style="60" customWidth="1"/>
    <col min="6109" max="6109" width="1.85546875" style="60" customWidth="1"/>
    <col min="6110" max="6112" width="3" style="60" customWidth="1"/>
    <col min="6113" max="6113" width="4.42578125" style="60" customWidth="1"/>
    <col min="6114" max="6115" width="3" style="60" customWidth="1"/>
    <col min="6116" max="6121" width="3.28515625" style="60" customWidth="1"/>
    <col min="6122" max="6123" width="9.140625" style="60" customWidth="1"/>
    <col min="6124" max="6127" width="3.28515625" style="60" customWidth="1"/>
    <col min="6128" max="6128" width="4.140625" style="60" customWidth="1"/>
    <col min="6129" max="6129" width="1.7109375" style="60" customWidth="1"/>
    <col min="6130" max="6134" width="3.28515625" style="60" customWidth="1"/>
    <col min="6135" max="6135" width="1.7109375" style="60" customWidth="1"/>
    <col min="6136" max="6140" width="3.28515625" style="60" customWidth="1"/>
    <col min="6141" max="6146" width="9.140625" style="60" customWidth="1"/>
    <col min="6147" max="6147" width="1.7109375" style="60" customWidth="1"/>
    <col min="6148" max="6152" width="3.28515625" style="60" customWidth="1"/>
    <col min="6153" max="6153" width="1.7109375" style="60" customWidth="1"/>
    <col min="6154" max="6154" width="16.5703125" style="60" bestFit="1" customWidth="1"/>
    <col min="6155" max="6156" width="10.28515625" style="60" customWidth="1"/>
    <col min="6157" max="6157" width="18" style="60" bestFit="1" customWidth="1"/>
    <col min="6158" max="6342" width="9.140625" style="60"/>
    <col min="6343" max="6350" width="9.140625" style="60" customWidth="1"/>
    <col min="6351" max="6351" width="10.140625" style="60" customWidth="1"/>
    <col min="6352" max="6352" width="1" style="60" customWidth="1"/>
    <col min="6353" max="6355" width="3.28515625" style="60" customWidth="1"/>
    <col min="6356" max="6356" width="1.85546875" style="60" customWidth="1"/>
    <col min="6357" max="6357" width="17.85546875" style="60" customWidth="1"/>
    <col min="6358" max="6358" width="1.85546875" style="60" customWidth="1"/>
    <col min="6359" max="6361" width="3.28515625" style="60" customWidth="1"/>
    <col min="6362" max="6362" width="2.85546875" style="60" customWidth="1"/>
    <col min="6363" max="6363" width="1.85546875" style="60" customWidth="1"/>
    <col min="6364" max="6364" width="19.7109375" style="60" customWidth="1"/>
    <col min="6365" max="6365" width="1.85546875" style="60" customWidth="1"/>
    <col min="6366" max="6368" width="3" style="60" customWidth="1"/>
    <col min="6369" max="6369" width="4.42578125" style="60" customWidth="1"/>
    <col min="6370" max="6371" width="3" style="60" customWidth="1"/>
    <col min="6372" max="6377" width="3.28515625" style="60" customWidth="1"/>
    <col min="6378" max="6379" width="9.140625" style="60" customWidth="1"/>
    <col min="6380" max="6383" width="3.28515625" style="60" customWidth="1"/>
    <col min="6384" max="6384" width="4.140625" style="60" customWidth="1"/>
    <col min="6385" max="6385" width="1.7109375" style="60" customWidth="1"/>
    <col min="6386" max="6390" width="3.28515625" style="60" customWidth="1"/>
    <col min="6391" max="6391" width="1.7109375" style="60" customWidth="1"/>
    <col min="6392" max="6396" width="3.28515625" style="60" customWidth="1"/>
    <col min="6397" max="6402" width="9.140625" style="60" customWidth="1"/>
    <col min="6403" max="6403" width="1.7109375" style="60" customWidth="1"/>
    <col min="6404" max="6408" width="3.28515625" style="60" customWidth="1"/>
    <col min="6409" max="6409" width="1.7109375" style="60" customWidth="1"/>
    <col min="6410" max="6410" width="16.5703125" style="60" bestFit="1" customWidth="1"/>
    <col min="6411" max="6412" width="10.28515625" style="60" customWidth="1"/>
    <col min="6413" max="6413" width="18" style="60" bestFit="1" customWidth="1"/>
    <col min="6414" max="6598" width="9.140625" style="60"/>
    <col min="6599" max="6606" width="9.140625" style="60" customWidth="1"/>
    <col min="6607" max="6607" width="10.140625" style="60" customWidth="1"/>
    <col min="6608" max="6608" width="1" style="60" customWidth="1"/>
    <col min="6609" max="6611" width="3.28515625" style="60" customWidth="1"/>
    <col min="6612" max="6612" width="1.85546875" style="60" customWidth="1"/>
    <col min="6613" max="6613" width="17.85546875" style="60" customWidth="1"/>
    <col min="6614" max="6614" width="1.85546875" style="60" customWidth="1"/>
    <col min="6615" max="6617" width="3.28515625" style="60" customWidth="1"/>
    <col min="6618" max="6618" width="2.85546875" style="60" customWidth="1"/>
    <col min="6619" max="6619" width="1.85546875" style="60" customWidth="1"/>
    <col min="6620" max="6620" width="19.7109375" style="60" customWidth="1"/>
    <col min="6621" max="6621" width="1.85546875" style="60" customWidth="1"/>
    <col min="6622" max="6624" width="3" style="60" customWidth="1"/>
    <col min="6625" max="6625" width="4.42578125" style="60" customWidth="1"/>
    <col min="6626" max="6627" width="3" style="60" customWidth="1"/>
    <col min="6628" max="6633" width="3.28515625" style="60" customWidth="1"/>
    <col min="6634" max="6635" width="9.140625" style="60" customWidth="1"/>
    <col min="6636" max="6639" width="3.28515625" style="60" customWidth="1"/>
    <col min="6640" max="6640" width="4.140625" style="60" customWidth="1"/>
    <col min="6641" max="6641" width="1.7109375" style="60" customWidth="1"/>
    <col min="6642" max="6646" width="3.28515625" style="60" customWidth="1"/>
    <col min="6647" max="6647" width="1.7109375" style="60" customWidth="1"/>
    <col min="6648" max="6652" width="3.28515625" style="60" customWidth="1"/>
    <col min="6653" max="6658" width="9.140625" style="60" customWidth="1"/>
    <col min="6659" max="6659" width="1.7109375" style="60" customWidth="1"/>
    <col min="6660" max="6664" width="3.28515625" style="60" customWidth="1"/>
    <col min="6665" max="6665" width="1.7109375" style="60" customWidth="1"/>
    <col min="6666" max="6666" width="16.5703125" style="60" bestFit="1" customWidth="1"/>
    <col min="6667" max="6668" width="10.28515625" style="60" customWidth="1"/>
    <col min="6669" max="6669" width="18" style="60" bestFit="1" customWidth="1"/>
    <col min="6670" max="6854" width="9.140625" style="60"/>
    <col min="6855" max="6862" width="9.140625" style="60" customWidth="1"/>
    <col min="6863" max="6863" width="10.140625" style="60" customWidth="1"/>
    <col min="6864" max="6864" width="1" style="60" customWidth="1"/>
    <col min="6865" max="6867" width="3.28515625" style="60" customWidth="1"/>
    <col min="6868" max="6868" width="1.85546875" style="60" customWidth="1"/>
    <col min="6869" max="6869" width="17.85546875" style="60" customWidth="1"/>
    <col min="6870" max="6870" width="1.85546875" style="60" customWidth="1"/>
    <col min="6871" max="6873" width="3.28515625" style="60" customWidth="1"/>
    <col min="6874" max="6874" width="2.85546875" style="60" customWidth="1"/>
    <col min="6875" max="6875" width="1.85546875" style="60" customWidth="1"/>
    <col min="6876" max="6876" width="19.7109375" style="60" customWidth="1"/>
    <col min="6877" max="6877" width="1.85546875" style="60" customWidth="1"/>
    <col min="6878" max="6880" width="3" style="60" customWidth="1"/>
    <col min="6881" max="6881" width="4.42578125" style="60" customWidth="1"/>
    <col min="6882" max="6883" width="3" style="60" customWidth="1"/>
    <col min="6884" max="6889" width="3.28515625" style="60" customWidth="1"/>
    <col min="6890" max="6891" width="9.140625" style="60" customWidth="1"/>
    <col min="6892" max="6895" width="3.28515625" style="60" customWidth="1"/>
    <col min="6896" max="6896" width="4.140625" style="60" customWidth="1"/>
    <col min="6897" max="6897" width="1.7109375" style="60" customWidth="1"/>
    <col min="6898" max="6902" width="3.28515625" style="60" customWidth="1"/>
    <col min="6903" max="6903" width="1.7109375" style="60" customWidth="1"/>
    <col min="6904" max="6908" width="3.28515625" style="60" customWidth="1"/>
    <col min="6909" max="6914" width="9.140625" style="60" customWidth="1"/>
    <col min="6915" max="6915" width="1.7109375" style="60" customWidth="1"/>
    <col min="6916" max="6920" width="3.28515625" style="60" customWidth="1"/>
    <col min="6921" max="6921" width="1.7109375" style="60" customWidth="1"/>
    <col min="6922" max="6922" width="16.5703125" style="60" bestFit="1" customWidth="1"/>
    <col min="6923" max="6924" width="10.28515625" style="60" customWidth="1"/>
    <col min="6925" max="6925" width="18" style="60" bestFit="1" customWidth="1"/>
    <col min="6926" max="7110" width="9.140625" style="60"/>
    <col min="7111" max="7118" width="9.140625" style="60" customWidth="1"/>
    <col min="7119" max="7119" width="10.140625" style="60" customWidth="1"/>
    <col min="7120" max="7120" width="1" style="60" customWidth="1"/>
    <col min="7121" max="7123" width="3.28515625" style="60" customWidth="1"/>
    <col min="7124" max="7124" width="1.85546875" style="60" customWidth="1"/>
    <col min="7125" max="7125" width="17.85546875" style="60" customWidth="1"/>
    <col min="7126" max="7126" width="1.85546875" style="60" customWidth="1"/>
    <col min="7127" max="7129" width="3.28515625" style="60" customWidth="1"/>
    <col min="7130" max="7130" width="2.85546875" style="60" customWidth="1"/>
    <col min="7131" max="7131" width="1.85546875" style="60" customWidth="1"/>
    <col min="7132" max="7132" width="19.7109375" style="60" customWidth="1"/>
    <col min="7133" max="7133" width="1.85546875" style="60" customWidth="1"/>
    <col min="7134" max="7136" width="3" style="60" customWidth="1"/>
    <col min="7137" max="7137" width="4.42578125" style="60" customWidth="1"/>
    <col min="7138" max="7139" width="3" style="60" customWidth="1"/>
    <col min="7140" max="7145" width="3.28515625" style="60" customWidth="1"/>
    <col min="7146" max="7147" width="9.140625" style="60" customWidth="1"/>
    <col min="7148" max="7151" width="3.28515625" style="60" customWidth="1"/>
    <col min="7152" max="7152" width="4.140625" style="60" customWidth="1"/>
    <col min="7153" max="7153" width="1.7109375" style="60" customWidth="1"/>
    <col min="7154" max="7158" width="3.28515625" style="60" customWidth="1"/>
    <col min="7159" max="7159" width="1.7109375" style="60" customWidth="1"/>
    <col min="7160" max="7164" width="3.28515625" style="60" customWidth="1"/>
    <col min="7165" max="7170" width="9.140625" style="60" customWidth="1"/>
    <col min="7171" max="7171" width="1.7109375" style="60" customWidth="1"/>
    <col min="7172" max="7176" width="3.28515625" style="60" customWidth="1"/>
    <col min="7177" max="7177" width="1.7109375" style="60" customWidth="1"/>
    <col min="7178" max="7178" width="16.5703125" style="60" bestFit="1" customWidth="1"/>
    <col min="7179" max="7180" width="10.28515625" style="60" customWidth="1"/>
    <col min="7181" max="7181" width="18" style="60" bestFit="1" customWidth="1"/>
    <col min="7182" max="7366" width="9.140625" style="60"/>
    <col min="7367" max="7374" width="9.140625" style="60" customWidth="1"/>
    <col min="7375" max="7375" width="10.140625" style="60" customWidth="1"/>
    <col min="7376" max="7376" width="1" style="60" customWidth="1"/>
    <col min="7377" max="7379" width="3.28515625" style="60" customWidth="1"/>
    <col min="7380" max="7380" width="1.85546875" style="60" customWidth="1"/>
    <col min="7381" max="7381" width="17.85546875" style="60" customWidth="1"/>
    <col min="7382" max="7382" width="1.85546875" style="60" customWidth="1"/>
    <col min="7383" max="7385" width="3.28515625" style="60" customWidth="1"/>
    <col min="7386" max="7386" width="2.85546875" style="60" customWidth="1"/>
    <col min="7387" max="7387" width="1.85546875" style="60" customWidth="1"/>
    <col min="7388" max="7388" width="19.7109375" style="60" customWidth="1"/>
    <col min="7389" max="7389" width="1.85546875" style="60" customWidth="1"/>
    <col min="7390" max="7392" width="3" style="60" customWidth="1"/>
    <col min="7393" max="7393" width="4.42578125" style="60" customWidth="1"/>
    <col min="7394" max="7395" width="3" style="60" customWidth="1"/>
    <col min="7396" max="7401" width="3.28515625" style="60" customWidth="1"/>
    <col min="7402" max="7403" width="9.140625" style="60" customWidth="1"/>
    <col min="7404" max="7407" width="3.28515625" style="60" customWidth="1"/>
    <col min="7408" max="7408" width="4.140625" style="60" customWidth="1"/>
    <col min="7409" max="7409" width="1.7109375" style="60" customWidth="1"/>
    <col min="7410" max="7414" width="3.28515625" style="60" customWidth="1"/>
    <col min="7415" max="7415" width="1.7109375" style="60" customWidth="1"/>
    <col min="7416" max="7420" width="3.28515625" style="60" customWidth="1"/>
    <col min="7421" max="7426" width="9.140625" style="60" customWidth="1"/>
    <col min="7427" max="7427" width="1.7109375" style="60" customWidth="1"/>
    <col min="7428" max="7432" width="3.28515625" style="60" customWidth="1"/>
    <col min="7433" max="7433" width="1.7109375" style="60" customWidth="1"/>
    <col min="7434" max="7434" width="16.5703125" style="60" bestFit="1" customWidth="1"/>
    <col min="7435" max="7436" width="10.28515625" style="60" customWidth="1"/>
    <col min="7437" max="7437" width="18" style="60" bestFit="1" customWidth="1"/>
    <col min="7438" max="7622" width="9.140625" style="60"/>
    <col min="7623" max="7630" width="9.140625" style="60" customWidth="1"/>
    <col min="7631" max="7631" width="10.140625" style="60" customWidth="1"/>
    <col min="7632" max="7632" width="1" style="60" customWidth="1"/>
    <col min="7633" max="7635" width="3.28515625" style="60" customWidth="1"/>
    <col min="7636" max="7636" width="1.85546875" style="60" customWidth="1"/>
    <col min="7637" max="7637" width="17.85546875" style="60" customWidth="1"/>
    <col min="7638" max="7638" width="1.85546875" style="60" customWidth="1"/>
    <col min="7639" max="7641" width="3.28515625" style="60" customWidth="1"/>
    <col min="7642" max="7642" width="2.85546875" style="60" customWidth="1"/>
    <col min="7643" max="7643" width="1.85546875" style="60" customWidth="1"/>
    <col min="7644" max="7644" width="19.7109375" style="60" customWidth="1"/>
    <col min="7645" max="7645" width="1.85546875" style="60" customWidth="1"/>
    <col min="7646" max="7648" width="3" style="60" customWidth="1"/>
    <col min="7649" max="7649" width="4.42578125" style="60" customWidth="1"/>
    <col min="7650" max="7651" width="3" style="60" customWidth="1"/>
    <col min="7652" max="7657" width="3.28515625" style="60" customWidth="1"/>
    <col min="7658" max="7659" width="9.140625" style="60" customWidth="1"/>
    <col min="7660" max="7663" width="3.28515625" style="60" customWidth="1"/>
    <col min="7664" max="7664" width="4.140625" style="60" customWidth="1"/>
    <col min="7665" max="7665" width="1.7109375" style="60" customWidth="1"/>
    <col min="7666" max="7670" width="3.28515625" style="60" customWidth="1"/>
    <col min="7671" max="7671" width="1.7109375" style="60" customWidth="1"/>
    <col min="7672" max="7676" width="3.28515625" style="60" customWidth="1"/>
    <col min="7677" max="7682" width="9.140625" style="60" customWidth="1"/>
    <col min="7683" max="7683" width="1.7109375" style="60" customWidth="1"/>
    <col min="7684" max="7688" width="3.28515625" style="60" customWidth="1"/>
    <col min="7689" max="7689" width="1.7109375" style="60" customWidth="1"/>
    <col min="7690" max="7690" width="16.5703125" style="60" bestFit="1" customWidth="1"/>
    <col min="7691" max="7692" width="10.28515625" style="60" customWidth="1"/>
    <col min="7693" max="7693" width="18" style="60" bestFit="1" customWidth="1"/>
    <col min="7694" max="7878" width="9.140625" style="60"/>
    <col min="7879" max="7886" width="9.140625" style="60" customWidth="1"/>
    <col min="7887" max="7887" width="10.140625" style="60" customWidth="1"/>
    <col min="7888" max="7888" width="1" style="60" customWidth="1"/>
    <col min="7889" max="7891" width="3.28515625" style="60" customWidth="1"/>
    <col min="7892" max="7892" width="1.85546875" style="60" customWidth="1"/>
    <col min="7893" max="7893" width="17.85546875" style="60" customWidth="1"/>
    <col min="7894" max="7894" width="1.85546875" style="60" customWidth="1"/>
    <col min="7895" max="7897" width="3.28515625" style="60" customWidth="1"/>
    <col min="7898" max="7898" width="2.85546875" style="60" customWidth="1"/>
    <col min="7899" max="7899" width="1.85546875" style="60" customWidth="1"/>
    <col min="7900" max="7900" width="19.7109375" style="60" customWidth="1"/>
    <col min="7901" max="7901" width="1.85546875" style="60" customWidth="1"/>
    <col min="7902" max="7904" width="3" style="60" customWidth="1"/>
    <col min="7905" max="7905" width="4.42578125" style="60" customWidth="1"/>
    <col min="7906" max="7907" width="3" style="60" customWidth="1"/>
    <col min="7908" max="7913" width="3.28515625" style="60" customWidth="1"/>
    <col min="7914" max="7915" width="9.140625" style="60" customWidth="1"/>
    <col min="7916" max="7919" width="3.28515625" style="60" customWidth="1"/>
    <col min="7920" max="7920" width="4.140625" style="60" customWidth="1"/>
    <col min="7921" max="7921" width="1.7109375" style="60" customWidth="1"/>
    <col min="7922" max="7926" width="3.28515625" style="60" customWidth="1"/>
    <col min="7927" max="7927" width="1.7109375" style="60" customWidth="1"/>
    <col min="7928" max="7932" width="3.28515625" style="60" customWidth="1"/>
    <col min="7933" max="7938" width="9.140625" style="60" customWidth="1"/>
    <col min="7939" max="7939" width="1.7109375" style="60" customWidth="1"/>
    <col min="7940" max="7944" width="3.28515625" style="60" customWidth="1"/>
    <col min="7945" max="7945" width="1.7109375" style="60" customWidth="1"/>
    <col min="7946" max="7946" width="16.5703125" style="60" bestFit="1" customWidth="1"/>
    <col min="7947" max="7948" width="10.28515625" style="60" customWidth="1"/>
    <col min="7949" max="7949" width="18" style="60" bestFit="1" customWidth="1"/>
    <col min="7950" max="8134" width="9.140625" style="60"/>
    <col min="8135" max="8142" width="9.140625" style="60" customWidth="1"/>
    <col min="8143" max="8143" width="10.140625" style="60" customWidth="1"/>
    <col min="8144" max="8144" width="1" style="60" customWidth="1"/>
    <col min="8145" max="8147" width="3.28515625" style="60" customWidth="1"/>
    <col min="8148" max="8148" width="1.85546875" style="60" customWidth="1"/>
    <col min="8149" max="8149" width="17.85546875" style="60" customWidth="1"/>
    <col min="8150" max="8150" width="1.85546875" style="60" customWidth="1"/>
    <col min="8151" max="8153" width="3.28515625" style="60" customWidth="1"/>
    <col min="8154" max="8154" width="2.85546875" style="60" customWidth="1"/>
    <col min="8155" max="8155" width="1.85546875" style="60" customWidth="1"/>
    <col min="8156" max="8156" width="19.7109375" style="60" customWidth="1"/>
    <col min="8157" max="8157" width="1.85546875" style="60" customWidth="1"/>
    <col min="8158" max="8160" width="3" style="60" customWidth="1"/>
    <col min="8161" max="8161" width="4.42578125" style="60" customWidth="1"/>
    <col min="8162" max="8163" width="3" style="60" customWidth="1"/>
    <col min="8164" max="8169" width="3.28515625" style="60" customWidth="1"/>
    <col min="8170" max="8171" width="9.140625" style="60" customWidth="1"/>
    <col min="8172" max="8175" width="3.28515625" style="60" customWidth="1"/>
    <col min="8176" max="8176" width="4.140625" style="60" customWidth="1"/>
    <col min="8177" max="8177" width="1.7109375" style="60" customWidth="1"/>
    <col min="8178" max="8182" width="3.28515625" style="60" customWidth="1"/>
    <col min="8183" max="8183" width="1.7109375" style="60" customWidth="1"/>
    <col min="8184" max="8188" width="3.28515625" style="60" customWidth="1"/>
    <col min="8189" max="8194" width="9.140625" style="60" customWidth="1"/>
    <col min="8195" max="8195" width="1.7109375" style="60" customWidth="1"/>
    <col min="8196" max="8200" width="3.28515625" style="60" customWidth="1"/>
    <col min="8201" max="8201" width="1.7109375" style="60" customWidth="1"/>
    <col min="8202" max="8202" width="16.5703125" style="60" bestFit="1" customWidth="1"/>
    <col min="8203" max="8204" width="10.28515625" style="60" customWidth="1"/>
    <col min="8205" max="8205" width="18" style="60" bestFit="1" customWidth="1"/>
    <col min="8206" max="8390" width="9.140625" style="60"/>
    <col min="8391" max="8398" width="9.140625" style="60" customWidth="1"/>
    <col min="8399" max="8399" width="10.140625" style="60" customWidth="1"/>
    <col min="8400" max="8400" width="1" style="60" customWidth="1"/>
    <col min="8401" max="8403" width="3.28515625" style="60" customWidth="1"/>
    <col min="8404" max="8404" width="1.85546875" style="60" customWidth="1"/>
    <col min="8405" max="8405" width="17.85546875" style="60" customWidth="1"/>
    <col min="8406" max="8406" width="1.85546875" style="60" customWidth="1"/>
    <col min="8407" max="8409" width="3.28515625" style="60" customWidth="1"/>
    <col min="8410" max="8410" width="2.85546875" style="60" customWidth="1"/>
    <col min="8411" max="8411" width="1.85546875" style="60" customWidth="1"/>
    <col min="8412" max="8412" width="19.7109375" style="60" customWidth="1"/>
    <col min="8413" max="8413" width="1.85546875" style="60" customWidth="1"/>
    <col min="8414" max="8416" width="3" style="60" customWidth="1"/>
    <col min="8417" max="8417" width="4.42578125" style="60" customWidth="1"/>
    <col min="8418" max="8419" width="3" style="60" customWidth="1"/>
    <col min="8420" max="8425" width="3.28515625" style="60" customWidth="1"/>
    <col min="8426" max="8427" width="9.140625" style="60" customWidth="1"/>
    <col min="8428" max="8431" width="3.28515625" style="60" customWidth="1"/>
    <col min="8432" max="8432" width="4.140625" style="60" customWidth="1"/>
    <col min="8433" max="8433" width="1.7109375" style="60" customWidth="1"/>
    <col min="8434" max="8438" width="3.28515625" style="60" customWidth="1"/>
    <col min="8439" max="8439" width="1.7109375" style="60" customWidth="1"/>
    <col min="8440" max="8444" width="3.28515625" style="60" customWidth="1"/>
    <col min="8445" max="8450" width="9.140625" style="60" customWidth="1"/>
    <col min="8451" max="8451" width="1.7109375" style="60" customWidth="1"/>
    <col min="8452" max="8456" width="3.28515625" style="60" customWidth="1"/>
    <col min="8457" max="8457" width="1.7109375" style="60" customWidth="1"/>
    <col min="8458" max="8458" width="16.5703125" style="60" bestFit="1" customWidth="1"/>
    <col min="8459" max="8460" width="10.28515625" style="60" customWidth="1"/>
    <col min="8461" max="8461" width="18" style="60" bestFit="1" customWidth="1"/>
    <col min="8462" max="8646" width="9.140625" style="60"/>
    <col min="8647" max="8654" width="9.140625" style="60" customWidth="1"/>
    <col min="8655" max="8655" width="10.140625" style="60" customWidth="1"/>
    <col min="8656" max="8656" width="1" style="60" customWidth="1"/>
    <col min="8657" max="8659" width="3.28515625" style="60" customWidth="1"/>
    <col min="8660" max="8660" width="1.85546875" style="60" customWidth="1"/>
    <col min="8661" max="8661" width="17.85546875" style="60" customWidth="1"/>
    <col min="8662" max="8662" width="1.85546875" style="60" customWidth="1"/>
    <col min="8663" max="8665" width="3.28515625" style="60" customWidth="1"/>
    <col min="8666" max="8666" width="2.85546875" style="60" customWidth="1"/>
    <col min="8667" max="8667" width="1.85546875" style="60" customWidth="1"/>
    <col min="8668" max="8668" width="19.7109375" style="60" customWidth="1"/>
    <col min="8669" max="8669" width="1.85546875" style="60" customWidth="1"/>
    <col min="8670" max="8672" width="3" style="60" customWidth="1"/>
    <col min="8673" max="8673" width="4.42578125" style="60" customWidth="1"/>
    <col min="8674" max="8675" width="3" style="60" customWidth="1"/>
    <col min="8676" max="8681" width="3.28515625" style="60" customWidth="1"/>
    <col min="8682" max="8683" width="9.140625" style="60" customWidth="1"/>
    <col min="8684" max="8687" width="3.28515625" style="60" customWidth="1"/>
    <col min="8688" max="8688" width="4.140625" style="60" customWidth="1"/>
    <col min="8689" max="8689" width="1.7109375" style="60" customWidth="1"/>
    <col min="8690" max="8694" width="3.28515625" style="60" customWidth="1"/>
    <col min="8695" max="8695" width="1.7109375" style="60" customWidth="1"/>
    <col min="8696" max="8700" width="3.28515625" style="60" customWidth="1"/>
    <col min="8701" max="8706" width="9.140625" style="60" customWidth="1"/>
    <col min="8707" max="8707" width="1.7109375" style="60" customWidth="1"/>
    <col min="8708" max="8712" width="3.28515625" style="60" customWidth="1"/>
    <col min="8713" max="8713" width="1.7109375" style="60" customWidth="1"/>
    <col min="8714" max="8714" width="16.5703125" style="60" bestFit="1" customWidth="1"/>
    <col min="8715" max="8716" width="10.28515625" style="60" customWidth="1"/>
    <col min="8717" max="8717" width="18" style="60" bestFit="1" customWidth="1"/>
    <col min="8718" max="8902" width="9.140625" style="60"/>
    <col min="8903" max="8910" width="9.140625" style="60" customWidth="1"/>
    <col min="8911" max="8911" width="10.140625" style="60" customWidth="1"/>
    <col min="8912" max="8912" width="1" style="60" customWidth="1"/>
    <col min="8913" max="8915" width="3.28515625" style="60" customWidth="1"/>
    <col min="8916" max="8916" width="1.85546875" style="60" customWidth="1"/>
    <col min="8917" max="8917" width="17.85546875" style="60" customWidth="1"/>
    <col min="8918" max="8918" width="1.85546875" style="60" customWidth="1"/>
    <col min="8919" max="8921" width="3.28515625" style="60" customWidth="1"/>
    <col min="8922" max="8922" width="2.85546875" style="60" customWidth="1"/>
    <col min="8923" max="8923" width="1.85546875" style="60" customWidth="1"/>
    <col min="8924" max="8924" width="19.7109375" style="60" customWidth="1"/>
    <col min="8925" max="8925" width="1.85546875" style="60" customWidth="1"/>
    <col min="8926" max="8928" width="3" style="60" customWidth="1"/>
    <col min="8929" max="8929" width="4.42578125" style="60" customWidth="1"/>
    <col min="8930" max="8931" width="3" style="60" customWidth="1"/>
    <col min="8932" max="8937" width="3.28515625" style="60" customWidth="1"/>
    <col min="8938" max="8939" width="9.140625" style="60" customWidth="1"/>
    <col min="8940" max="8943" width="3.28515625" style="60" customWidth="1"/>
    <col min="8944" max="8944" width="4.140625" style="60" customWidth="1"/>
    <col min="8945" max="8945" width="1.7109375" style="60" customWidth="1"/>
    <col min="8946" max="8950" width="3.28515625" style="60" customWidth="1"/>
    <col min="8951" max="8951" width="1.7109375" style="60" customWidth="1"/>
    <col min="8952" max="8956" width="3.28515625" style="60" customWidth="1"/>
    <col min="8957" max="8962" width="9.140625" style="60" customWidth="1"/>
    <col min="8963" max="8963" width="1.7109375" style="60" customWidth="1"/>
    <col min="8964" max="8968" width="3.28515625" style="60" customWidth="1"/>
    <col min="8969" max="8969" width="1.7109375" style="60" customWidth="1"/>
    <col min="8970" max="8970" width="16.5703125" style="60" bestFit="1" customWidth="1"/>
    <col min="8971" max="8972" width="10.28515625" style="60" customWidth="1"/>
    <col min="8973" max="8973" width="18" style="60" bestFit="1" customWidth="1"/>
    <col min="8974" max="9158" width="9.140625" style="60"/>
    <col min="9159" max="9166" width="9.140625" style="60" customWidth="1"/>
    <col min="9167" max="9167" width="10.140625" style="60" customWidth="1"/>
    <col min="9168" max="9168" width="1" style="60" customWidth="1"/>
    <col min="9169" max="9171" width="3.28515625" style="60" customWidth="1"/>
    <col min="9172" max="9172" width="1.85546875" style="60" customWidth="1"/>
    <col min="9173" max="9173" width="17.85546875" style="60" customWidth="1"/>
    <col min="9174" max="9174" width="1.85546875" style="60" customWidth="1"/>
    <col min="9175" max="9177" width="3.28515625" style="60" customWidth="1"/>
    <col min="9178" max="9178" width="2.85546875" style="60" customWidth="1"/>
    <col min="9179" max="9179" width="1.85546875" style="60" customWidth="1"/>
    <col min="9180" max="9180" width="19.7109375" style="60" customWidth="1"/>
    <col min="9181" max="9181" width="1.85546875" style="60" customWidth="1"/>
    <col min="9182" max="9184" width="3" style="60" customWidth="1"/>
    <col min="9185" max="9185" width="4.42578125" style="60" customWidth="1"/>
    <col min="9186" max="9187" width="3" style="60" customWidth="1"/>
    <col min="9188" max="9193" width="3.28515625" style="60" customWidth="1"/>
    <col min="9194" max="9195" width="9.140625" style="60" customWidth="1"/>
    <col min="9196" max="9199" width="3.28515625" style="60" customWidth="1"/>
    <col min="9200" max="9200" width="4.140625" style="60" customWidth="1"/>
    <col min="9201" max="9201" width="1.7109375" style="60" customWidth="1"/>
    <col min="9202" max="9206" width="3.28515625" style="60" customWidth="1"/>
    <col min="9207" max="9207" width="1.7109375" style="60" customWidth="1"/>
    <col min="9208" max="9212" width="3.28515625" style="60" customWidth="1"/>
    <col min="9213" max="9218" width="9.140625" style="60" customWidth="1"/>
    <col min="9219" max="9219" width="1.7109375" style="60" customWidth="1"/>
    <col min="9220" max="9224" width="3.28515625" style="60" customWidth="1"/>
    <col min="9225" max="9225" width="1.7109375" style="60" customWidth="1"/>
    <col min="9226" max="9226" width="16.5703125" style="60" bestFit="1" customWidth="1"/>
    <col min="9227" max="9228" width="10.28515625" style="60" customWidth="1"/>
    <col min="9229" max="9229" width="18" style="60" bestFit="1" customWidth="1"/>
    <col min="9230" max="9414" width="9.140625" style="60"/>
    <col min="9415" max="9422" width="9.140625" style="60" customWidth="1"/>
    <col min="9423" max="9423" width="10.140625" style="60" customWidth="1"/>
    <col min="9424" max="9424" width="1" style="60" customWidth="1"/>
    <col min="9425" max="9427" width="3.28515625" style="60" customWidth="1"/>
    <col min="9428" max="9428" width="1.85546875" style="60" customWidth="1"/>
    <col min="9429" max="9429" width="17.85546875" style="60" customWidth="1"/>
    <col min="9430" max="9430" width="1.85546875" style="60" customWidth="1"/>
    <col min="9431" max="9433" width="3.28515625" style="60" customWidth="1"/>
    <col min="9434" max="9434" width="2.85546875" style="60" customWidth="1"/>
    <col min="9435" max="9435" width="1.85546875" style="60" customWidth="1"/>
    <col min="9436" max="9436" width="19.7109375" style="60" customWidth="1"/>
    <col min="9437" max="9437" width="1.85546875" style="60" customWidth="1"/>
    <col min="9438" max="9440" width="3" style="60" customWidth="1"/>
    <col min="9441" max="9441" width="4.42578125" style="60" customWidth="1"/>
    <col min="9442" max="9443" width="3" style="60" customWidth="1"/>
    <col min="9444" max="9449" width="3.28515625" style="60" customWidth="1"/>
    <col min="9450" max="9451" width="9.140625" style="60" customWidth="1"/>
    <col min="9452" max="9455" width="3.28515625" style="60" customWidth="1"/>
    <col min="9456" max="9456" width="4.140625" style="60" customWidth="1"/>
    <col min="9457" max="9457" width="1.7109375" style="60" customWidth="1"/>
    <col min="9458" max="9462" width="3.28515625" style="60" customWidth="1"/>
    <col min="9463" max="9463" width="1.7109375" style="60" customWidth="1"/>
    <col min="9464" max="9468" width="3.28515625" style="60" customWidth="1"/>
    <col min="9469" max="9474" width="9.140625" style="60" customWidth="1"/>
    <col min="9475" max="9475" width="1.7109375" style="60" customWidth="1"/>
    <col min="9476" max="9480" width="3.28515625" style="60" customWidth="1"/>
    <col min="9481" max="9481" width="1.7109375" style="60" customWidth="1"/>
    <col min="9482" max="9482" width="16.5703125" style="60" bestFit="1" customWidth="1"/>
    <col min="9483" max="9484" width="10.28515625" style="60" customWidth="1"/>
    <col min="9485" max="9485" width="18" style="60" bestFit="1" customWidth="1"/>
    <col min="9486" max="9670" width="9.140625" style="60"/>
    <col min="9671" max="9678" width="9.140625" style="60" customWidth="1"/>
    <col min="9679" max="9679" width="10.140625" style="60" customWidth="1"/>
    <col min="9680" max="9680" width="1" style="60" customWidth="1"/>
    <col min="9681" max="9683" width="3.28515625" style="60" customWidth="1"/>
    <col min="9684" max="9684" width="1.85546875" style="60" customWidth="1"/>
    <col min="9685" max="9685" width="17.85546875" style="60" customWidth="1"/>
    <col min="9686" max="9686" width="1.85546875" style="60" customWidth="1"/>
    <col min="9687" max="9689" width="3.28515625" style="60" customWidth="1"/>
    <col min="9690" max="9690" width="2.85546875" style="60" customWidth="1"/>
    <col min="9691" max="9691" width="1.85546875" style="60" customWidth="1"/>
    <col min="9692" max="9692" width="19.7109375" style="60" customWidth="1"/>
    <col min="9693" max="9693" width="1.85546875" style="60" customWidth="1"/>
    <col min="9694" max="9696" width="3" style="60" customWidth="1"/>
    <col min="9697" max="9697" width="4.42578125" style="60" customWidth="1"/>
    <col min="9698" max="9699" width="3" style="60" customWidth="1"/>
    <col min="9700" max="9705" width="3.28515625" style="60" customWidth="1"/>
    <col min="9706" max="9707" width="9.140625" style="60" customWidth="1"/>
    <col min="9708" max="9711" width="3.28515625" style="60" customWidth="1"/>
    <col min="9712" max="9712" width="4.140625" style="60" customWidth="1"/>
    <col min="9713" max="9713" width="1.7109375" style="60" customWidth="1"/>
    <col min="9714" max="9718" width="3.28515625" style="60" customWidth="1"/>
    <col min="9719" max="9719" width="1.7109375" style="60" customWidth="1"/>
    <col min="9720" max="9724" width="3.28515625" style="60" customWidth="1"/>
    <col min="9725" max="9730" width="9.140625" style="60" customWidth="1"/>
    <col min="9731" max="9731" width="1.7109375" style="60" customWidth="1"/>
    <col min="9732" max="9736" width="3.28515625" style="60" customWidth="1"/>
    <col min="9737" max="9737" width="1.7109375" style="60" customWidth="1"/>
    <col min="9738" max="9738" width="16.5703125" style="60" bestFit="1" customWidth="1"/>
    <col min="9739" max="9740" width="10.28515625" style="60" customWidth="1"/>
    <col min="9741" max="9741" width="18" style="60" bestFit="1" customWidth="1"/>
    <col min="9742" max="9926" width="9.140625" style="60"/>
    <col min="9927" max="9934" width="9.140625" style="60" customWidth="1"/>
    <col min="9935" max="9935" width="10.140625" style="60" customWidth="1"/>
    <col min="9936" max="9936" width="1" style="60" customWidth="1"/>
    <col min="9937" max="9939" width="3.28515625" style="60" customWidth="1"/>
    <col min="9940" max="9940" width="1.85546875" style="60" customWidth="1"/>
    <col min="9941" max="9941" width="17.85546875" style="60" customWidth="1"/>
    <col min="9942" max="9942" width="1.85546875" style="60" customWidth="1"/>
    <col min="9943" max="9945" width="3.28515625" style="60" customWidth="1"/>
    <col min="9946" max="9946" width="2.85546875" style="60" customWidth="1"/>
    <col min="9947" max="9947" width="1.85546875" style="60" customWidth="1"/>
    <col min="9948" max="9948" width="19.7109375" style="60" customWidth="1"/>
    <col min="9949" max="9949" width="1.85546875" style="60" customWidth="1"/>
    <col min="9950" max="9952" width="3" style="60" customWidth="1"/>
    <col min="9953" max="9953" width="4.42578125" style="60" customWidth="1"/>
    <col min="9954" max="9955" width="3" style="60" customWidth="1"/>
    <col min="9956" max="9961" width="3.28515625" style="60" customWidth="1"/>
    <col min="9962" max="9963" width="9.140625" style="60" customWidth="1"/>
    <col min="9964" max="9967" width="3.28515625" style="60" customWidth="1"/>
    <col min="9968" max="9968" width="4.140625" style="60" customWidth="1"/>
    <col min="9969" max="9969" width="1.7109375" style="60" customWidth="1"/>
    <col min="9970" max="9974" width="3.28515625" style="60" customWidth="1"/>
    <col min="9975" max="9975" width="1.7109375" style="60" customWidth="1"/>
    <col min="9976" max="9980" width="3.28515625" style="60" customWidth="1"/>
    <col min="9981" max="9986" width="9.140625" style="60" customWidth="1"/>
    <col min="9987" max="9987" width="1.7109375" style="60" customWidth="1"/>
    <col min="9988" max="9992" width="3.28515625" style="60" customWidth="1"/>
    <col min="9993" max="9993" width="1.7109375" style="60" customWidth="1"/>
    <col min="9994" max="9994" width="16.5703125" style="60" bestFit="1" customWidth="1"/>
    <col min="9995" max="9996" width="10.28515625" style="60" customWidth="1"/>
    <col min="9997" max="9997" width="18" style="60" bestFit="1" customWidth="1"/>
    <col min="9998" max="10182" width="9.140625" style="60"/>
    <col min="10183" max="10190" width="9.140625" style="60" customWidth="1"/>
    <col min="10191" max="10191" width="10.140625" style="60" customWidth="1"/>
    <col min="10192" max="10192" width="1" style="60" customWidth="1"/>
    <col min="10193" max="10195" width="3.28515625" style="60" customWidth="1"/>
    <col min="10196" max="10196" width="1.85546875" style="60" customWidth="1"/>
    <col min="10197" max="10197" width="17.85546875" style="60" customWidth="1"/>
    <col min="10198" max="10198" width="1.85546875" style="60" customWidth="1"/>
    <col min="10199" max="10201" width="3.28515625" style="60" customWidth="1"/>
    <col min="10202" max="10202" width="2.85546875" style="60" customWidth="1"/>
    <col min="10203" max="10203" width="1.85546875" style="60" customWidth="1"/>
    <col min="10204" max="10204" width="19.7109375" style="60" customWidth="1"/>
    <col min="10205" max="10205" width="1.85546875" style="60" customWidth="1"/>
    <col min="10206" max="10208" width="3" style="60" customWidth="1"/>
    <col min="10209" max="10209" width="4.42578125" style="60" customWidth="1"/>
    <col min="10210" max="10211" width="3" style="60" customWidth="1"/>
    <col min="10212" max="10217" width="3.28515625" style="60" customWidth="1"/>
    <col min="10218" max="10219" width="9.140625" style="60" customWidth="1"/>
    <col min="10220" max="10223" width="3.28515625" style="60" customWidth="1"/>
    <col min="10224" max="10224" width="4.140625" style="60" customWidth="1"/>
    <col min="10225" max="10225" width="1.7109375" style="60" customWidth="1"/>
    <col min="10226" max="10230" width="3.28515625" style="60" customWidth="1"/>
    <col min="10231" max="10231" width="1.7109375" style="60" customWidth="1"/>
    <col min="10232" max="10236" width="3.28515625" style="60" customWidth="1"/>
    <col min="10237" max="10242" width="9.140625" style="60" customWidth="1"/>
    <col min="10243" max="10243" width="1.7109375" style="60" customWidth="1"/>
    <col min="10244" max="10248" width="3.28515625" style="60" customWidth="1"/>
    <col min="10249" max="10249" width="1.7109375" style="60" customWidth="1"/>
    <col min="10250" max="10250" width="16.5703125" style="60" bestFit="1" customWidth="1"/>
    <col min="10251" max="10252" width="10.28515625" style="60" customWidth="1"/>
    <col min="10253" max="10253" width="18" style="60" bestFit="1" customWidth="1"/>
    <col min="10254" max="10438" width="9.140625" style="60"/>
    <col min="10439" max="10446" width="9.140625" style="60" customWidth="1"/>
    <col min="10447" max="10447" width="10.140625" style="60" customWidth="1"/>
    <col min="10448" max="10448" width="1" style="60" customWidth="1"/>
    <col min="10449" max="10451" width="3.28515625" style="60" customWidth="1"/>
    <col min="10452" max="10452" width="1.85546875" style="60" customWidth="1"/>
    <col min="10453" max="10453" width="17.85546875" style="60" customWidth="1"/>
    <col min="10454" max="10454" width="1.85546875" style="60" customWidth="1"/>
    <col min="10455" max="10457" width="3.28515625" style="60" customWidth="1"/>
    <col min="10458" max="10458" width="2.85546875" style="60" customWidth="1"/>
    <col min="10459" max="10459" width="1.85546875" style="60" customWidth="1"/>
    <col min="10460" max="10460" width="19.7109375" style="60" customWidth="1"/>
    <col min="10461" max="10461" width="1.85546875" style="60" customWidth="1"/>
    <col min="10462" max="10464" width="3" style="60" customWidth="1"/>
    <col min="10465" max="10465" width="4.42578125" style="60" customWidth="1"/>
    <col min="10466" max="10467" width="3" style="60" customWidth="1"/>
    <col min="10468" max="10473" width="3.28515625" style="60" customWidth="1"/>
    <col min="10474" max="10475" width="9.140625" style="60" customWidth="1"/>
    <col min="10476" max="10479" width="3.28515625" style="60" customWidth="1"/>
    <col min="10480" max="10480" width="4.140625" style="60" customWidth="1"/>
    <col min="10481" max="10481" width="1.7109375" style="60" customWidth="1"/>
    <col min="10482" max="10486" width="3.28515625" style="60" customWidth="1"/>
    <col min="10487" max="10487" width="1.7109375" style="60" customWidth="1"/>
    <col min="10488" max="10492" width="3.28515625" style="60" customWidth="1"/>
    <col min="10493" max="10498" width="9.140625" style="60" customWidth="1"/>
    <col min="10499" max="10499" width="1.7109375" style="60" customWidth="1"/>
    <col min="10500" max="10504" width="3.28515625" style="60" customWidth="1"/>
    <col min="10505" max="10505" width="1.7109375" style="60" customWidth="1"/>
    <col min="10506" max="10506" width="16.5703125" style="60" bestFit="1" customWidth="1"/>
    <col min="10507" max="10508" width="10.28515625" style="60" customWidth="1"/>
    <col min="10509" max="10509" width="18" style="60" bestFit="1" customWidth="1"/>
    <col min="10510" max="10694" width="9.140625" style="60"/>
    <col min="10695" max="10702" width="9.140625" style="60" customWidth="1"/>
    <col min="10703" max="10703" width="10.140625" style="60" customWidth="1"/>
    <col min="10704" max="10704" width="1" style="60" customWidth="1"/>
    <col min="10705" max="10707" width="3.28515625" style="60" customWidth="1"/>
    <col min="10708" max="10708" width="1.85546875" style="60" customWidth="1"/>
    <col min="10709" max="10709" width="17.85546875" style="60" customWidth="1"/>
    <col min="10710" max="10710" width="1.85546875" style="60" customWidth="1"/>
    <col min="10711" max="10713" width="3.28515625" style="60" customWidth="1"/>
    <col min="10714" max="10714" width="2.85546875" style="60" customWidth="1"/>
    <col min="10715" max="10715" width="1.85546875" style="60" customWidth="1"/>
    <col min="10716" max="10716" width="19.7109375" style="60" customWidth="1"/>
    <col min="10717" max="10717" width="1.85546875" style="60" customWidth="1"/>
    <col min="10718" max="10720" width="3" style="60" customWidth="1"/>
    <col min="10721" max="10721" width="4.42578125" style="60" customWidth="1"/>
    <col min="10722" max="10723" width="3" style="60" customWidth="1"/>
    <col min="10724" max="10729" width="3.28515625" style="60" customWidth="1"/>
    <col min="10730" max="10731" width="9.140625" style="60" customWidth="1"/>
    <col min="10732" max="10735" width="3.28515625" style="60" customWidth="1"/>
    <col min="10736" max="10736" width="4.140625" style="60" customWidth="1"/>
    <col min="10737" max="10737" width="1.7109375" style="60" customWidth="1"/>
    <col min="10738" max="10742" width="3.28515625" style="60" customWidth="1"/>
    <col min="10743" max="10743" width="1.7109375" style="60" customWidth="1"/>
    <col min="10744" max="10748" width="3.28515625" style="60" customWidth="1"/>
    <col min="10749" max="10754" width="9.140625" style="60" customWidth="1"/>
    <col min="10755" max="10755" width="1.7109375" style="60" customWidth="1"/>
    <col min="10756" max="10760" width="3.28515625" style="60" customWidth="1"/>
    <col min="10761" max="10761" width="1.7109375" style="60" customWidth="1"/>
    <col min="10762" max="10762" width="16.5703125" style="60" bestFit="1" customWidth="1"/>
    <col min="10763" max="10764" width="10.28515625" style="60" customWidth="1"/>
    <col min="10765" max="10765" width="18" style="60" bestFit="1" customWidth="1"/>
    <col min="10766" max="10950" width="9.140625" style="60"/>
    <col min="10951" max="10958" width="9.140625" style="60" customWidth="1"/>
    <col min="10959" max="10959" width="10.140625" style="60" customWidth="1"/>
    <col min="10960" max="10960" width="1" style="60" customWidth="1"/>
    <col min="10961" max="10963" width="3.28515625" style="60" customWidth="1"/>
    <col min="10964" max="10964" width="1.85546875" style="60" customWidth="1"/>
    <col min="10965" max="10965" width="17.85546875" style="60" customWidth="1"/>
    <col min="10966" max="10966" width="1.85546875" style="60" customWidth="1"/>
    <col min="10967" max="10969" width="3.28515625" style="60" customWidth="1"/>
    <col min="10970" max="10970" width="2.85546875" style="60" customWidth="1"/>
    <col min="10971" max="10971" width="1.85546875" style="60" customWidth="1"/>
    <col min="10972" max="10972" width="19.7109375" style="60" customWidth="1"/>
    <col min="10973" max="10973" width="1.85546875" style="60" customWidth="1"/>
    <col min="10974" max="10976" width="3" style="60" customWidth="1"/>
    <col min="10977" max="10977" width="4.42578125" style="60" customWidth="1"/>
    <col min="10978" max="10979" width="3" style="60" customWidth="1"/>
    <col min="10980" max="10985" width="3.28515625" style="60" customWidth="1"/>
    <col min="10986" max="10987" width="9.140625" style="60" customWidth="1"/>
    <col min="10988" max="10991" width="3.28515625" style="60" customWidth="1"/>
    <col min="10992" max="10992" width="4.140625" style="60" customWidth="1"/>
    <col min="10993" max="10993" width="1.7109375" style="60" customWidth="1"/>
    <col min="10994" max="10998" width="3.28515625" style="60" customWidth="1"/>
    <col min="10999" max="10999" width="1.7109375" style="60" customWidth="1"/>
    <col min="11000" max="11004" width="3.28515625" style="60" customWidth="1"/>
    <col min="11005" max="11010" width="9.140625" style="60" customWidth="1"/>
    <col min="11011" max="11011" width="1.7109375" style="60" customWidth="1"/>
    <col min="11012" max="11016" width="3.28515625" style="60" customWidth="1"/>
    <col min="11017" max="11017" width="1.7109375" style="60" customWidth="1"/>
    <col min="11018" max="11018" width="16.5703125" style="60" bestFit="1" customWidth="1"/>
    <col min="11019" max="11020" width="10.28515625" style="60" customWidth="1"/>
    <col min="11021" max="11021" width="18" style="60" bestFit="1" customWidth="1"/>
    <col min="11022" max="11206" width="9.140625" style="60"/>
    <col min="11207" max="11214" width="9.140625" style="60" customWidth="1"/>
    <col min="11215" max="11215" width="10.140625" style="60" customWidth="1"/>
    <col min="11216" max="11216" width="1" style="60" customWidth="1"/>
    <col min="11217" max="11219" width="3.28515625" style="60" customWidth="1"/>
    <col min="11220" max="11220" width="1.85546875" style="60" customWidth="1"/>
    <col min="11221" max="11221" width="17.85546875" style="60" customWidth="1"/>
    <col min="11222" max="11222" width="1.85546875" style="60" customWidth="1"/>
    <col min="11223" max="11225" width="3.28515625" style="60" customWidth="1"/>
    <col min="11226" max="11226" width="2.85546875" style="60" customWidth="1"/>
    <col min="11227" max="11227" width="1.85546875" style="60" customWidth="1"/>
    <col min="11228" max="11228" width="19.7109375" style="60" customWidth="1"/>
    <col min="11229" max="11229" width="1.85546875" style="60" customWidth="1"/>
    <col min="11230" max="11232" width="3" style="60" customWidth="1"/>
    <col min="11233" max="11233" width="4.42578125" style="60" customWidth="1"/>
    <col min="11234" max="11235" width="3" style="60" customWidth="1"/>
    <col min="11236" max="11241" width="3.28515625" style="60" customWidth="1"/>
    <col min="11242" max="11243" width="9.140625" style="60" customWidth="1"/>
    <col min="11244" max="11247" width="3.28515625" style="60" customWidth="1"/>
    <col min="11248" max="11248" width="4.140625" style="60" customWidth="1"/>
    <col min="11249" max="11249" width="1.7109375" style="60" customWidth="1"/>
    <col min="11250" max="11254" width="3.28515625" style="60" customWidth="1"/>
    <col min="11255" max="11255" width="1.7109375" style="60" customWidth="1"/>
    <col min="11256" max="11260" width="3.28515625" style="60" customWidth="1"/>
    <col min="11261" max="11266" width="9.140625" style="60" customWidth="1"/>
    <col min="11267" max="11267" width="1.7109375" style="60" customWidth="1"/>
    <col min="11268" max="11272" width="3.28515625" style="60" customWidth="1"/>
    <col min="11273" max="11273" width="1.7109375" style="60" customWidth="1"/>
    <col min="11274" max="11274" width="16.5703125" style="60" bestFit="1" customWidth="1"/>
    <col min="11275" max="11276" width="10.28515625" style="60" customWidth="1"/>
    <col min="11277" max="11277" width="18" style="60" bestFit="1" customWidth="1"/>
    <col min="11278" max="11462" width="9.140625" style="60"/>
    <col min="11463" max="11470" width="9.140625" style="60" customWidth="1"/>
    <col min="11471" max="11471" width="10.140625" style="60" customWidth="1"/>
    <col min="11472" max="11472" width="1" style="60" customWidth="1"/>
    <col min="11473" max="11475" width="3.28515625" style="60" customWidth="1"/>
    <col min="11476" max="11476" width="1.85546875" style="60" customWidth="1"/>
    <col min="11477" max="11477" width="17.85546875" style="60" customWidth="1"/>
    <col min="11478" max="11478" width="1.85546875" style="60" customWidth="1"/>
    <col min="11479" max="11481" width="3.28515625" style="60" customWidth="1"/>
    <col min="11482" max="11482" width="2.85546875" style="60" customWidth="1"/>
    <col min="11483" max="11483" width="1.85546875" style="60" customWidth="1"/>
    <col min="11484" max="11484" width="19.7109375" style="60" customWidth="1"/>
    <col min="11485" max="11485" width="1.85546875" style="60" customWidth="1"/>
    <col min="11486" max="11488" width="3" style="60" customWidth="1"/>
    <col min="11489" max="11489" width="4.42578125" style="60" customWidth="1"/>
    <col min="11490" max="11491" width="3" style="60" customWidth="1"/>
    <col min="11492" max="11497" width="3.28515625" style="60" customWidth="1"/>
    <col min="11498" max="11499" width="9.140625" style="60" customWidth="1"/>
    <col min="11500" max="11503" width="3.28515625" style="60" customWidth="1"/>
    <col min="11504" max="11504" width="4.140625" style="60" customWidth="1"/>
    <col min="11505" max="11505" width="1.7109375" style="60" customWidth="1"/>
    <col min="11506" max="11510" width="3.28515625" style="60" customWidth="1"/>
    <col min="11511" max="11511" width="1.7109375" style="60" customWidth="1"/>
    <col min="11512" max="11516" width="3.28515625" style="60" customWidth="1"/>
    <col min="11517" max="11522" width="9.140625" style="60" customWidth="1"/>
    <col min="11523" max="11523" width="1.7109375" style="60" customWidth="1"/>
    <col min="11524" max="11528" width="3.28515625" style="60" customWidth="1"/>
    <col min="11529" max="11529" width="1.7109375" style="60" customWidth="1"/>
    <col min="11530" max="11530" width="16.5703125" style="60" bestFit="1" customWidth="1"/>
    <col min="11531" max="11532" width="10.28515625" style="60" customWidth="1"/>
    <col min="11533" max="11533" width="18" style="60" bestFit="1" customWidth="1"/>
    <col min="11534" max="11718" width="9.140625" style="60"/>
    <col min="11719" max="11726" width="9.140625" style="60" customWidth="1"/>
    <col min="11727" max="11727" width="10.140625" style="60" customWidth="1"/>
    <col min="11728" max="11728" width="1" style="60" customWidth="1"/>
    <col min="11729" max="11731" width="3.28515625" style="60" customWidth="1"/>
    <col min="11732" max="11732" width="1.85546875" style="60" customWidth="1"/>
    <col min="11733" max="11733" width="17.85546875" style="60" customWidth="1"/>
    <col min="11734" max="11734" width="1.85546875" style="60" customWidth="1"/>
    <col min="11735" max="11737" width="3.28515625" style="60" customWidth="1"/>
    <col min="11738" max="11738" width="2.85546875" style="60" customWidth="1"/>
    <col min="11739" max="11739" width="1.85546875" style="60" customWidth="1"/>
    <col min="11740" max="11740" width="19.7109375" style="60" customWidth="1"/>
    <col min="11741" max="11741" width="1.85546875" style="60" customWidth="1"/>
    <col min="11742" max="11744" width="3" style="60" customWidth="1"/>
    <col min="11745" max="11745" width="4.42578125" style="60" customWidth="1"/>
    <col min="11746" max="11747" width="3" style="60" customWidth="1"/>
    <col min="11748" max="11753" width="3.28515625" style="60" customWidth="1"/>
    <col min="11754" max="11755" width="9.140625" style="60" customWidth="1"/>
    <col min="11756" max="11759" width="3.28515625" style="60" customWidth="1"/>
    <col min="11760" max="11760" width="4.140625" style="60" customWidth="1"/>
    <col min="11761" max="11761" width="1.7109375" style="60" customWidth="1"/>
    <col min="11762" max="11766" width="3.28515625" style="60" customWidth="1"/>
    <col min="11767" max="11767" width="1.7109375" style="60" customWidth="1"/>
    <col min="11768" max="11772" width="3.28515625" style="60" customWidth="1"/>
    <col min="11773" max="11778" width="9.140625" style="60" customWidth="1"/>
    <col min="11779" max="11779" width="1.7109375" style="60" customWidth="1"/>
    <col min="11780" max="11784" width="3.28515625" style="60" customWidth="1"/>
    <col min="11785" max="11785" width="1.7109375" style="60" customWidth="1"/>
    <col min="11786" max="11786" width="16.5703125" style="60" bestFit="1" customWidth="1"/>
    <col min="11787" max="11788" width="10.28515625" style="60" customWidth="1"/>
    <col min="11789" max="11789" width="18" style="60" bestFit="1" customWidth="1"/>
    <col min="11790" max="11974" width="9.140625" style="60"/>
    <col min="11975" max="11982" width="9.140625" style="60" customWidth="1"/>
    <col min="11983" max="11983" width="10.140625" style="60" customWidth="1"/>
    <col min="11984" max="11984" width="1" style="60" customWidth="1"/>
    <col min="11985" max="11987" width="3.28515625" style="60" customWidth="1"/>
    <col min="11988" max="11988" width="1.85546875" style="60" customWidth="1"/>
    <col min="11989" max="11989" width="17.85546875" style="60" customWidth="1"/>
    <col min="11990" max="11990" width="1.85546875" style="60" customWidth="1"/>
    <col min="11991" max="11993" width="3.28515625" style="60" customWidth="1"/>
    <col min="11994" max="11994" width="2.85546875" style="60" customWidth="1"/>
    <col min="11995" max="11995" width="1.85546875" style="60" customWidth="1"/>
    <col min="11996" max="11996" width="19.7109375" style="60" customWidth="1"/>
    <col min="11997" max="11997" width="1.85546875" style="60" customWidth="1"/>
    <col min="11998" max="12000" width="3" style="60" customWidth="1"/>
    <col min="12001" max="12001" width="4.42578125" style="60" customWidth="1"/>
    <col min="12002" max="12003" width="3" style="60" customWidth="1"/>
    <col min="12004" max="12009" width="3.28515625" style="60" customWidth="1"/>
    <col min="12010" max="12011" width="9.140625" style="60" customWidth="1"/>
    <col min="12012" max="12015" width="3.28515625" style="60" customWidth="1"/>
    <col min="12016" max="12016" width="4.140625" style="60" customWidth="1"/>
    <col min="12017" max="12017" width="1.7109375" style="60" customWidth="1"/>
    <col min="12018" max="12022" width="3.28515625" style="60" customWidth="1"/>
    <col min="12023" max="12023" width="1.7109375" style="60" customWidth="1"/>
    <col min="12024" max="12028" width="3.28515625" style="60" customWidth="1"/>
    <col min="12029" max="12034" width="9.140625" style="60" customWidth="1"/>
    <col min="12035" max="12035" width="1.7109375" style="60" customWidth="1"/>
    <col min="12036" max="12040" width="3.28515625" style="60" customWidth="1"/>
    <col min="12041" max="12041" width="1.7109375" style="60" customWidth="1"/>
    <col min="12042" max="12042" width="16.5703125" style="60" bestFit="1" customWidth="1"/>
    <col min="12043" max="12044" width="10.28515625" style="60" customWidth="1"/>
    <col min="12045" max="12045" width="18" style="60" bestFit="1" customWidth="1"/>
    <col min="12046" max="12230" width="9.140625" style="60"/>
    <col min="12231" max="12238" width="9.140625" style="60" customWidth="1"/>
    <col min="12239" max="12239" width="10.140625" style="60" customWidth="1"/>
    <col min="12240" max="12240" width="1" style="60" customWidth="1"/>
    <col min="12241" max="12243" width="3.28515625" style="60" customWidth="1"/>
    <col min="12244" max="12244" width="1.85546875" style="60" customWidth="1"/>
    <col min="12245" max="12245" width="17.85546875" style="60" customWidth="1"/>
    <col min="12246" max="12246" width="1.85546875" style="60" customWidth="1"/>
    <col min="12247" max="12249" width="3.28515625" style="60" customWidth="1"/>
    <col min="12250" max="12250" width="2.85546875" style="60" customWidth="1"/>
    <col min="12251" max="12251" width="1.85546875" style="60" customWidth="1"/>
    <col min="12252" max="12252" width="19.7109375" style="60" customWidth="1"/>
    <col min="12253" max="12253" width="1.85546875" style="60" customWidth="1"/>
    <col min="12254" max="12256" width="3" style="60" customWidth="1"/>
    <col min="12257" max="12257" width="4.42578125" style="60" customWidth="1"/>
    <col min="12258" max="12259" width="3" style="60" customWidth="1"/>
    <col min="12260" max="12265" width="3.28515625" style="60" customWidth="1"/>
    <col min="12266" max="12267" width="9.140625" style="60" customWidth="1"/>
    <col min="12268" max="12271" width="3.28515625" style="60" customWidth="1"/>
    <col min="12272" max="12272" width="4.140625" style="60" customWidth="1"/>
    <col min="12273" max="12273" width="1.7109375" style="60" customWidth="1"/>
    <col min="12274" max="12278" width="3.28515625" style="60" customWidth="1"/>
    <col min="12279" max="12279" width="1.7109375" style="60" customWidth="1"/>
    <col min="12280" max="12284" width="3.28515625" style="60" customWidth="1"/>
    <col min="12285" max="12290" width="9.140625" style="60" customWidth="1"/>
    <col min="12291" max="12291" width="1.7109375" style="60" customWidth="1"/>
    <col min="12292" max="12296" width="3.28515625" style="60" customWidth="1"/>
    <col min="12297" max="12297" width="1.7109375" style="60" customWidth="1"/>
    <col min="12298" max="12298" width="16.5703125" style="60" bestFit="1" customWidth="1"/>
    <col min="12299" max="12300" width="10.28515625" style="60" customWidth="1"/>
    <col min="12301" max="12301" width="18" style="60" bestFit="1" customWidth="1"/>
    <col min="12302" max="12486" width="9.140625" style="60"/>
    <col min="12487" max="12494" width="9.140625" style="60" customWidth="1"/>
    <col min="12495" max="12495" width="10.140625" style="60" customWidth="1"/>
    <col min="12496" max="12496" width="1" style="60" customWidth="1"/>
    <col min="12497" max="12499" width="3.28515625" style="60" customWidth="1"/>
    <col min="12500" max="12500" width="1.85546875" style="60" customWidth="1"/>
    <col min="12501" max="12501" width="17.85546875" style="60" customWidth="1"/>
    <col min="12502" max="12502" width="1.85546875" style="60" customWidth="1"/>
    <col min="12503" max="12505" width="3.28515625" style="60" customWidth="1"/>
    <col min="12506" max="12506" width="2.85546875" style="60" customWidth="1"/>
    <col min="12507" max="12507" width="1.85546875" style="60" customWidth="1"/>
    <col min="12508" max="12508" width="19.7109375" style="60" customWidth="1"/>
    <col min="12509" max="12509" width="1.85546875" style="60" customWidth="1"/>
    <col min="12510" max="12512" width="3" style="60" customWidth="1"/>
    <col min="12513" max="12513" width="4.42578125" style="60" customWidth="1"/>
    <col min="12514" max="12515" width="3" style="60" customWidth="1"/>
    <col min="12516" max="12521" width="3.28515625" style="60" customWidth="1"/>
    <col min="12522" max="12523" width="9.140625" style="60" customWidth="1"/>
    <col min="12524" max="12527" width="3.28515625" style="60" customWidth="1"/>
    <col min="12528" max="12528" width="4.140625" style="60" customWidth="1"/>
    <col min="12529" max="12529" width="1.7109375" style="60" customWidth="1"/>
    <col min="12530" max="12534" width="3.28515625" style="60" customWidth="1"/>
    <col min="12535" max="12535" width="1.7109375" style="60" customWidth="1"/>
    <col min="12536" max="12540" width="3.28515625" style="60" customWidth="1"/>
    <col min="12541" max="12546" width="9.140625" style="60" customWidth="1"/>
    <col min="12547" max="12547" width="1.7109375" style="60" customWidth="1"/>
    <col min="12548" max="12552" width="3.28515625" style="60" customWidth="1"/>
    <col min="12553" max="12553" width="1.7109375" style="60" customWidth="1"/>
    <col min="12554" max="12554" width="16.5703125" style="60" bestFit="1" customWidth="1"/>
    <col min="12555" max="12556" width="10.28515625" style="60" customWidth="1"/>
    <col min="12557" max="12557" width="18" style="60" bestFit="1" customWidth="1"/>
    <col min="12558" max="12742" width="9.140625" style="60"/>
    <col min="12743" max="12750" width="9.140625" style="60" customWidth="1"/>
    <col min="12751" max="12751" width="10.140625" style="60" customWidth="1"/>
    <col min="12752" max="12752" width="1" style="60" customWidth="1"/>
    <col min="12753" max="12755" width="3.28515625" style="60" customWidth="1"/>
    <col min="12756" max="12756" width="1.85546875" style="60" customWidth="1"/>
    <col min="12757" max="12757" width="17.85546875" style="60" customWidth="1"/>
    <col min="12758" max="12758" width="1.85546875" style="60" customWidth="1"/>
    <col min="12759" max="12761" width="3.28515625" style="60" customWidth="1"/>
    <col min="12762" max="12762" width="2.85546875" style="60" customWidth="1"/>
    <col min="12763" max="12763" width="1.85546875" style="60" customWidth="1"/>
    <col min="12764" max="12764" width="19.7109375" style="60" customWidth="1"/>
    <col min="12765" max="12765" width="1.85546875" style="60" customWidth="1"/>
    <col min="12766" max="12768" width="3" style="60" customWidth="1"/>
    <col min="12769" max="12769" width="4.42578125" style="60" customWidth="1"/>
    <col min="12770" max="12771" width="3" style="60" customWidth="1"/>
    <col min="12772" max="12777" width="3.28515625" style="60" customWidth="1"/>
    <col min="12778" max="12779" width="9.140625" style="60" customWidth="1"/>
    <col min="12780" max="12783" width="3.28515625" style="60" customWidth="1"/>
    <col min="12784" max="12784" width="4.140625" style="60" customWidth="1"/>
    <col min="12785" max="12785" width="1.7109375" style="60" customWidth="1"/>
    <col min="12786" max="12790" width="3.28515625" style="60" customWidth="1"/>
    <col min="12791" max="12791" width="1.7109375" style="60" customWidth="1"/>
    <col min="12792" max="12796" width="3.28515625" style="60" customWidth="1"/>
    <col min="12797" max="12802" width="9.140625" style="60" customWidth="1"/>
    <col min="12803" max="12803" width="1.7109375" style="60" customWidth="1"/>
    <col min="12804" max="12808" width="3.28515625" style="60" customWidth="1"/>
    <col min="12809" max="12809" width="1.7109375" style="60" customWidth="1"/>
    <col min="12810" max="12810" width="16.5703125" style="60" bestFit="1" customWidth="1"/>
    <col min="12811" max="12812" width="10.28515625" style="60" customWidth="1"/>
    <col min="12813" max="12813" width="18" style="60" bestFit="1" customWidth="1"/>
    <col min="12814" max="12998" width="9.140625" style="60"/>
    <col min="12999" max="13006" width="9.140625" style="60" customWidth="1"/>
    <col min="13007" max="13007" width="10.140625" style="60" customWidth="1"/>
    <col min="13008" max="13008" width="1" style="60" customWidth="1"/>
    <col min="13009" max="13011" width="3.28515625" style="60" customWidth="1"/>
    <col min="13012" max="13012" width="1.85546875" style="60" customWidth="1"/>
    <col min="13013" max="13013" width="17.85546875" style="60" customWidth="1"/>
    <col min="13014" max="13014" width="1.85546875" style="60" customWidth="1"/>
    <col min="13015" max="13017" width="3.28515625" style="60" customWidth="1"/>
    <col min="13018" max="13018" width="2.85546875" style="60" customWidth="1"/>
    <col min="13019" max="13019" width="1.85546875" style="60" customWidth="1"/>
    <col min="13020" max="13020" width="19.7109375" style="60" customWidth="1"/>
    <col min="13021" max="13021" width="1.85546875" style="60" customWidth="1"/>
    <col min="13022" max="13024" width="3" style="60" customWidth="1"/>
    <col min="13025" max="13025" width="4.42578125" style="60" customWidth="1"/>
    <col min="13026" max="13027" width="3" style="60" customWidth="1"/>
    <col min="13028" max="13033" width="3.28515625" style="60" customWidth="1"/>
    <col min="13034" max="13035" width="9.140625" style="60" customWidth="1"/>
    <col min="13036" max="13039" width="3.28515625" style="60" customWidth="1"/>
    <col min="13040" max="13040" width="4.140625" style="60" customWidth="1"/>
    <col min="13041" max="13041" width="1.7109375" style="60" customWidth="1"/>
    <col min="13042" max="13046" width="3.28515625" style="60" customWidth="1"/>
    <col min="13047" max="13047" width="1.7109375" style="60" customWidth="1"/>
    <col min="13048" max="13052" width="3.28515625" style="60" customWidth="1"/>
    <col min="13053" max="13058" width="9.140625" style="60" customWidth="1"/>
    <col min="13059" max="13059" width="1.7109375" style="60" customWidth="1"/>
    <col min="13060" max="13064" width="3.28515625" style="60" customWidth="1"/>
    <col min="13065" max="13065" width="1.7109375" style="60" customWidth="1"/>
    <col min="13066" max="13066" width="16.5703125" style="60" bestFit="1" customWidth="1"/>
    <col min="13067" max="13068" width="10.28515625" style="60" customWidth="1"/>
    <col min="13069" max="13069" width="18" style="60" bestFit="1" customWidth="1"/>
    <col min="13070" max="13254" width="9.140625" style="60"/>
    <col min="13255" max="13262" width="9.140625" style="60" customWidth="1"/>
    <col min="13263" max="13263" width="10.140625" style="60" customWidth="1"/>
    <col min="13264" max="13264" width="1" style="60" customWidth="1"/>
    <col min="13265" max="13267" width="3.28515625" style="60" customWidth="1"/>
    <col min="13268" max="13268" width="1.85546875" style="60" customWidth="1"/>
    <col min="13269" max="13269" width="17.85546875" style="60" customWidth="1"/>
    <col min="13270" max="13270" width="1.85546875" style="60" customWidth="1"/>
    <col min="13271" max="13273" width="3.28515625" style="60" customWidth="1"/>
    <col min="13274" max="13274" width="2.85546875" style="60" customWidth="1"/>
    <col min="13275" max="13275" width="1.85546875" style="60" customWidth="1"/>
    <col min="13276" max="13276" width="19.7109375" style="60" customWidth="1"/>
    <col min="13277" max="13277" width="1.85546875" style="60" customWidth="1"/>
    <col min="13278" max="13280" width="3" style="60" customWidth="1"/>
    <col min="13281" max="13281" width="4.42578125" style="60" customWidth="1"/>
    <col min="13282" max="13283" width="3" style="60" customWidth="1"/>
    <col min="13284" max="13289" width="3.28515625" style="60" customWidth="1"/>
    <col min="13290" max="13291" width="9.140625" style="60" customWidth="1"/>
    <col min="13292" max="13295" width="3.28515625" style="60" customWidth="1"/>
    <col min="13296" max="13296" width="4.140625" style="60" customWidth="1"/>
    <col min="13297" max="13297" width="1.7109375" style="60" customWidth="1"/>
    <col min="13298" max="13302" width="3.28515625" style="60" customWidth="1"/>
    <col min="13303" max="13303" width="1.7109375" style="60" customWidth="1"/>
    <col min="13304" max="13308" width="3.28515625" style="60" customWidth="1"/>
    <col min="13309" max="13314" width="9.140625" style="60" customWidth="1"/>
    <col min="13315" max="13315" width="1.7109375" style="60" customWidth="1"/>
    <col min="13316" max="13320" width="3.28515625" style="60" customWidth="1"/>
    <col min="13321" max="13321" width="1.7109375" style="60" customWidth="1"/>
    <col min="13322" max="13322" width="16.5703125" style="60" bestFit="1" customWidth="1"/>
    <col min="13323" max="13324" width="10.28515625" style="60" customWidth="1"/>
    <col min="13325" max="13325" width="18" style="60" bestFit="1" customWidth="1"/>
    <col min="13326" max="13510" width="9.140625" style="60"/>
    <col min="13511" max="13518" width="9.140625" style="60" customWidth="1"/>
    <col min="13519" max="13519" width="10.140625" style="60" customWidth="1"/>
    <col min="13520" max="13520" width="1" style="60" customWidth="1"/>
    <col min="13521" max="13523" width="3.28515625" style="60" customWidth="1"/>
    <col min="13524" max="13524" width="1.85546875" style="60" customWidth="1"/>
    <col min="13525" max="13525" width="17.85546875" style="60" customWidth="1"/>
    <col min="13526" max="13526" width="1.85546875" style="60" customWidth="1"/>
    <col min="13527" max="13529" width="3.28515625" style="60" customWidth="1"/>
    <col min="13530" max="13530" width="2.85546875" style="60" customWidth="1"/>
    <col min="13531" max="13531" width="1.85546875" style="60" customWidth="1"/>
    <col min="13532" max="13532" width="19.7109375" style="60" customWidth="1"/>
    <col min="13533" max="13533" width="1.85546875" style="60" customWidth="1"/>
    <col min="13534" max="13536" width="3" style="60" customWidth="1"/>
    <col min="13537" max="13537" width="4.42578125" style="60" customWidth="1"/>
    <col min="13538" max="13539" width="3" style="60" customWidth="1"/>
    <col min="13540" max="13545" width="3.28515625" style="60" customWidth="1"/>
    <col min="13546" max="13547" width="9.140625" style="60" customWidth="1"/>
    <col min="13548" max="13551" width="3.28515625" style="60" customWidth="1"/>
    <col min="13552" max="13552" width="4.140625" style="60" customWidth="1"/>
    <col min="13553" max="13553" width="1.7109375" style="60" customWidth="1"/>
    <col min="13554" max="13558" width="3.28515625" style="60" customWidth="1"/>
    <col min="13559" max="13559" width="1.7109375" style="60" customWidth="1"/>
    <col min="13560" max="13564" width="3.28515625" style="60" customWidth="1"/>
    <col min="13565" max="13570" width="9.140625" style="60" customWidth="1"/>
    <col min="13571" max="13571" width="1.7109375" style="60" customWidth="1"/>
    <col min="13572" max="13576" width="3.28515625" style="60" customWidth="1"/>
    <col min="13577" max="13577" width="1.7109375" style="60" customWidth="1"/>
    <col min="13578" max="13578" width="16.5703125" style="60" bestFit="1" customWidth="1"/>
    <col min="13579" max="13580" width="10.28515625" style="60" customWidth="1"/>
    <col min="13581" max="13581" width="18" style="60" bestFit="1" customWidth="1"/>
    <col min="13582" max="13766" width="9.140625" style="60"/>
    <col min="13767" max="13774" width="9.140625" style="60" customWidth="1"/>
    <col min="13775" max="13775" width="10.140625" style="60" customWidth="1"/>
    <col min="13776" max="13776" width="1" style="60" customWidth="1"/>
    <col min="13777" max="13779" width="3.28515625" style="60" customWidth="1"/>
    <col min="13780" max="13780" width="1.85546875" style="60" customWidth="1"/>
    <col min="13781" max="13781" width="17.85546875" style="60" customWidth="1"/>
    <col min="13782" max="13782" width="1.85546875" style="60" customWidth="1"/>
    <col min="13783" max="13785" width="3.28515625" style="60" customWidth="1"/>
    <col min="13786" max="13786" width="2.85546875" style="60" customWidth="1"/>
    <col min="13787" max="13787" width="1.85546875" style="60" customWidth="1"/>
    <col min="13788" max="13788" width="19.7109375" style="60" customWidth="1"/>
    <col min="13789" max="13789" width="1.85546875" style="60" customWidth="1"/>
    <col min="13790" max="13792" width="3" style="60" customWidth="1"/>
    <col min="13793" max="13793" width="4.42578125" style="60" customWidth="1"/>
    <col min="13794" max="13795" width="3" style="60" customWidth="1"/>
    <col min="13796" max="13801" width="3.28515625" style="60" customWidth="1"/>
    <col min="13802" max="13803" width="9.140625" style="60" customWidth="1"/>
    <col min="13804" max="13807" width="3.28515625" style="60" customWidth="1"/>
    <col min="13808" max="13808" width="4.140625" style="60" customWidth="1"/>
    <col min="13809" max="13809" width="1.7109375" style="60" customWidth="1"/>
    <col min="13810" max="13814" width="3.28515625" style="60" customWidth="1"/>
    <col min="13815" max="13815" width="1.7109375" style="60" customWidth="1"/>
    <col min="13816" max="13820" width="3.28515625" style="60" customWidth="1"/>
    <col min="13821" max="13826" width="9.140625" style="60" customWidth="1"/>
    <col min="13827" max="13827" width="1.7109375" style="60" customWidth="1"/>
    <col min="13828" max="13832" width="3.28515625" style="60" customWidth="1"/>
    <col min="13833" max="13833" width="1.7109375" style="60" customWidth="1"/>
    <col min="13834" max="13834" width="16.5703125" style="60" bestFit="1" customWidth="1"/>
    <col min="13835" max="13836" width="10.28515625" style="60" customWidth="1"/>
    <col min="13837" max="13837" width="18" style="60" bestFit="1" customWidth="1"/>
    <col min="13838" max="14022" width="9.140625" style="60"/>
    <col min="14023" max="14030" width="9.140625" style="60" customWidth="1"/>
    <col min="14031" max="14031" width="10.140625" style="60" customWidth="1"/>
    <col min="14032" max="14032" width="1" style="60" customWidth="1"/>
    <col min="14033" max="14035" width="3.28515625" style="60" customWidth="1"/>
    <col min="14036" max="14036" width="1.85546875" style="60" customWidth="1"/>
    <col min="14037" max="14037" width="17.85546875" style="60" customWidth="1"/>
    <col min="14038" max="14038" width="1.85546875" style="60" customWidth="1"/>
    <col min="14039" max="14041" width="3.28515625" style="60" customWidth="1"/>
    <col min="14042" max="14042" width="2.85546875" style="60" customWidth="1"/>
    <col min="14043" max="14043" width="1.85546875" style="60" customWidth="1"/>
    <col min="14044" max="14044" width="19.7109375" style="60" customWidth="1"/>
    <col min="14045" max="14045" width="1.85546875" style="60" customWidth="1"/>
    <col min="14046" max="14048" width="3" style="60" customWidth="1"/>
    <col min="14049" max="14049" width="4.42578125" style="60" customWidth="1"/>
    <col min="14050" max="14051" width="3" style="60" customWidth="1"/>
    <col min="14052" max="14057" width="3.28515625" style="60" customWidth="1"/>
    <col min="14058" max="14059" width="9.140625" style="60" customWidth="1"/>
    <col min="14060" max="14063" width="3.28515625" style="60" customWidth="1"/>
    <col min="14064" max="14064" width="4.140625" style="60" customWidth="1"/>
    <col min="14065" max="14065" width="1.7109375" style="60" customWidth="1"/>
    <col min="14066" max="14070" width="3.28515625" style="60" customWidth="1"/>
    <col min="14071" max="14071" width="1.7109375" style="60" customWidth="1"/>
    <col min="14072" max="14076" width="3.28515625" style="60" customWidth="1"/>
    <col min="14077" max="14082" width="9.140625" style="60" customWidth="1"/>
    <col min="14083" max="14083" width="1.7109375" style="60" customWidth="1"/>
    <col min="14084" max="14088" width="3.28515625" style="60" customWidth="1"/>
    <col min="14089" max="14089" width="1.7109375" style="60" customWidth="1"/>
    <col min="14090" max="14090" width="16.5703125" style="60" bestFit="1" customWidth="1"/>
    <col min="14091" max="14092" width="10.28515625" style="60" customWidth="1"/>
    <col min="14093" max="14093" width="18" style="60" bestFit="1" customWidth="1"/>
    <col min="14094" max="14278" width="9.140625" style="60"/>
    <col min="14279" max="14286" width="9.140625" style="60" customWidth="1"/>
    <col min="14287" max="14287" width="10.140625" style="60" customWidth="1"/>
    <col min="14288" max="14288" width="1" style="60" customWidth="1"/>
    <col min="14289" max="14291" width="3.28515625" style="60" customWidth="1"/>
    <col min="14292" max="14292" width="1.85546875" style="60" customWidth="1"/>
    <col min="14293" max="14293" width="17.85546875" style="60" customWidth="1"/>
    <col min="14294" max="14294" width="1.85546875" style="60" customWidth="1"/>
    <col min="14295" max="14297" width="3.28515625" style="60" customWidth="1"/>
    <col min="14298" max="14298" width="2.85546875" style="60" customWidth="1"/>
    <col min="14299" max="14299" width="1.85546875" style="60" customWidth="1"/>
    <col min="14300" max="14300" width="19.7109375" style="60" customWidth="1"/>
    <col min="14301" max="14301" width="1.85546875" style="60" customWidth="1"/>
    <col min="14302" max="14304" width="3" style="60" customWidth="1"/>
    <col min="14305" max="14305" width="4.42578125" style="60" customWidth="1"/>
    <col min="14306" max="14307" width="3" style="60" customWidth="1"/>
    <col min="14308" max="14313" width="3.28515625" style="60" customWidth="1"/>
    <col min="14314" max="14315" width="9.140625" style="60" customWidth="1"/>
    <col min="14316" max="14319" width="3.28515625" style="60" customWidth="1"/>
    <col min="14320" max="14320" width="4.140625" style="60" customWidth="1"/>
    <col min="14321" max="14321" width="1.7109375" style="60" customWidth="1"/>
    <col min="14322" max="14326" width="3.28515625" style="60" customWidth="1"/>
    <col min="14327" max="14327" width="1.7109375" style="60" customWidth="1"/>
    <col min="14328" max="14332" width="3.28515625" style="60" customWidth="1"/>
    <col min="14333" max="14338" width="9.140625" style="60" customWidth="1"/>
    <col min="14339" max="14339" width="1.7109375" style="60" customWidth="1"/>
    <col min="14340" max="14344" width="3.28515625" style="60" customWidth="1"/>
    <col min="14345" max="14345" width="1.7109375" style="60" customWidth="1"/>
    <col min="14346" max="14346" width="16.5703125" style="60" bestFit="1" customWidth="1"/>
    <col min="14347" max="14348" width="10.28515625" style="60" customWidth="1"/>
    <col min="14349" max="14349" width="18" style="60" bestFit="1" customWidth="1"/>
    <col min="14350" max="14534" width="9.140625" style="60"/>
    <col min="14535" max="14542" width="9.140625" style="60" customWidth="1"/>
    <col min="14543" max="14543" width="10.140625" style="60" customWidth="1"/>
    <col min="14544" max="14544" width="1" style="60" customWidth="1"/>
    <col min="14545" max="14547" width="3.28515625" style="60" customWidth="1"/>
    <col min="14548" max="14548" width="1.85546875" style="60" customWidth="1"/>
    <col min="14549" max="14549" width="17.85546875" style="60" customWidth="1"/>
    <col min="14550" max="14550" width="1.85546875" style="60" customWidth="1"/>
    <col min="14551" max="14553" width="3.28515625" style="60" customWidth="1"/>
    <col min="14554" max="14554" width="2.85546875" style="60" customWidth="1"/>
    <col min="14555" max="14555" width="1.85546875" style="60" customWidth="1"/>
    <col min="14556" max="14556" width="19.7109375" style="60" customWidth="1"/>
    <col min="14557" max="14557" width="1.85546875" style="60" customWidth="1"/>
    <col min="14558" max="14560" width="3" style="60" customWidth="1"/>
    <col min="14561" max="14561" width="4.42578125" style="60" customWidth="1"/>
    <col min="14562" max="14563" width="3" style="60" customWidth="1"/>
    <col min="14564" max="14569" width="3.28515625" style="60" customWidth="1"/>
    <col min="14570" max="14571" width="9.140625" style="60" customWidth="1"/>
    <col min="14572" max="14575" width="3.28515625" style="60" customWidth="1"/>
    <col min="14576" max="14576" width="4.140625" style="60" customWidth="1"/>
    <col min="14577" max="14577" width="1.7109375" style="60" customWidth="1"/>
    <col min="14578" max="14582" width="3.28515625" style="60" customWidth="1"/>
    <col min="14583" max="14583" width="1.7109375" style="60" customWidth="1"/>
    <col min="14584" max="14588" width="3.28515625" style="60" customWidth="1"/>
    <col min="14589" max="14594" width="9.140625" style="60" customWidth="1"/>
    <col min="14595" max="14595" width="1.7109375" style="60" customWidth="1"/>
    <col min="14596" max="14600" width="3.28515625" style="60" customWidth="1"/>
    <col min="14601" max="14601" width="1.7109375" style="60" customWidth="1"/>
    <col min="14602" max="14602" width="16.5703125" style="60" bestFit="1" customWidth="1"/>
    <col min="14603" max="14604" width="10.28515625" style="60" customWidth="1"/>
    <col min="14605" max="14605" width="18" style="60" bestFit="1" customWidth="1"/>
    <col min="14606" max="14790" width="9.140625" style="60"/>
    <col min="14791" max="14798" width="9.140625" style="60" customWidth="1"/>
    <col min="14799" max="14799" width="10.140625" style="60" customWidth="1"/>
    <col min="14800" max="14800" width="1" style="60" customWidth="1"/>
    <col min="14801" max="14803" width="3.28515625" style="60" customWidth="1"/>
    <col min="14804" max="14804" width="1.85546875" style="60" customWidth="1"/>
    <col min="14805" max="14805" width="17.85546875" style="60" customWidth="1"/>
    <col min="14806" max="14806" width="1.85546875" style="60" customWidth="1"/>
    <col min="14807" max="14809" width="3.28515625" style="60" customWidth="1"/>
    <col min="14810" max="14810" width="2.85546875" style="60" customWidth="1"/>
    <col min="14811" max="14811" width="1.85546875" style="60" customWidth="1"/>
    <col min="14812" max="14812" width="19.7109375" style="60" customWidth="1"/>
    <col min="14813" max="14813" width="1.85546875" style="60" customWidth="1"/>
    <col min="14814" max="14816" width="3" style="60" customWidth="1"/>
    <col min="14817" max="14817" width="4.42578125" style="60" customWidth="1"/>
    <col min="14818" max="14819" width="3" style="60" customWidth="1"/>
    <col min="14820" max="14825" width="3.28515625" style="60" customWidth="1"/>
    <col min="14826" max="14827" width="9.140625" style="60" customWidth="1"/>
    <col min="14828" max="14831" width="3.28515625" style="60" customWidth="1"/>
    <col min="14832" max="14832" width="4.140625" style="60" customWidth="1"/>
    <col min="14833" max="14833" width="1.7109375" style="60" customWidth="1"/>
    <col min="14834" max="14838" width="3.28515625" style="60" customWidth="1"/>
    <col min="14839" max="14839" width="1.7109375" style="60" customWidth="1"/>
    <col min="14840" max="14844" width="3.28515625" style="60" customWidth="1"/>
    <col min="14845" max="14850" width="9.140625" style="60" customWidth="1"/>
    <col min="14851" max="14851" width="1.7109375" style="60" customWidth="1"/>
    <col min="14852" max="14856" width="3.28515625" style="60" customWidth="1"/>
    <col min="14857" max="14857" width="1.7109375" style="60" customWidth="1"/>
    <col min="14858" max="14858" width="16.5703125" style="60" bestFit="1" customWidth="1"/>
    <col min="14859" max="14860" width="10.28515625" style="60" customWidth="1"/>
    <col min="14861" max="14861" width="18" style="60" bestFit="1" customWidth="1"/>
    <col min="14862" max="15046" width="9.140625" style="60"/>
    <col min="15047" max="15054" width="9.140625" style="60" customWidth="1"/>
    <col min="15055" max="15055" width="10.140625" style="60" customWidth="1"/>
    <col min="15056" max="15056" width="1" style="60" customWidth="1"/>
    <col min="15057" max="15059" width="3.28515625" style="60" customWidth="1"/>
    <col min="15060" max="15060" width="1.85546875" style="60" customWidth="1"/>
    <col min="15061" max="15061" width="17.85546875" style="60" customWidth="1"/>
    <col min="15062" max="15062" width="1.85546875" style="60" customWidth="1"/>
    <col min="15063" max="15065" width="3.28515625" style="60" customWidth="1"/>
    <col min="15066" max="15066" width="2.85546875" style="60" customWidth="1"/>
    <col min="15067" max="15067" width="1.85546875" style="60" customWidth="1"/>
    <col min="15068" max="15068" width="19.7109375" style="60" customWidth="1"/>
    <col min="15069" max="15069" width="1.85546875" style="60" customWidth="1"/>
    <col min="15070" max="15072" width="3" style="60" customWidth="1"/>
    <col min="15073" max="15073" width="4.42578125" style="60" customWidth="1"/>
    <col min="15074" max="15075" width="3" style="60" customWidth="1"/>
    <col min="15076" max="15081" width="3.28515625" style="60" customWidth="1"/>
    <col min="15082" max="15083" width="9.140625" style="60" customWidth="1"/>
    <col min="15084" max="15087" width="3.28515625" style="60" customWidth="1"/>
    <col min="15088" max="15088" width="4.140625" style="60" customWidth="1"/>
    <col min="15089" max="15089" width="1.7109375" style="60" customWidth="1"/>
    <col min="15090" max="15094" width="3.28515625" style="60" customWidth="1"/>
    <col min="15095" max="15095" width="1.7109375" style="60" customWidth="1"/>
    <col min="15096" max="15100" width="3.28515625" style="60" customWidth="1"/>
    <col min="15101" max="15106" width="9.140625" style="60" customWidth="1"/>
    <col min="15107" max="15107" width="1.7109375" style="60" customWidth="1"/>
    <col min="15108" max="15112" width="3.28515625" style="60" customWidth="1"/>
    <col min="15113" max="15113" width="1.7109375" style="60" customWidth="1"/>
    <col min="15114" max="15114" width="16.5703125" style="60" bestFit="1" customWidth="1"/>
    <col min="15115" max="15116" width="10.28515625" style="60" customWidth="1"/>
    <col min="15117" max="15117" width="18" style="60" bestFit="1" customWidth="1"/>
    <col min="15118" max="15302" width="9.140625" style="60"/>
    <col min="15303" max="15310" width="9.140625" style="60" customWidth="1"/>
    <col min="15311" max="15311" width="10.140625" style="60" customWidth="1"/>
    <col min="15312" max="15312" width="1" style="60" customWidth="1"/>
    <col min="15313" max="15315" width="3.28515625" style="60" customWidth="1"/>
    <col min="15316" max="15316" width="1.85546875" style="60" customWidth="1"/>
    <col min="15317" max="15317" width="17.85546875" style="60" customWidth="1"/>
    <col min="15318" max="15318" width="1.85546875" style="60" customWidth="1"/>
    <col min="15319" max="15321" width="3.28515625" style="60" customWidth="1"/>
    <col min="15322" max="15322" width="2.85546875" style="60" customWidth="1"/>
    <col min="15323" max="15323" width="1.85546875" style="60" customWidth="1"/>
    <col min="15324" max="15324" width="19.7109375" style="60" customWidth="1"/>
    <col min="15325" max="15325" width="1.85546875" style="60" customWidth="1"/>
    <col min="15326" max="15328" width="3" style="60" customWidth="1"/>
    <col min="15329" max="15329" width="4.42578125" style="60" customWidth="1"/>
    <col min="15330" max="15331" width="3" style="60" customWidth="1"/>
    <col min="15332" max="15337" width="3.28515625" style="60" customWidth="1"/>
    <col min="15338" max="15339" width="9.140625" style="60" customWidth="1"/>
    <col min="15340" max="15343" width="3.28515625" style="60" customWidth="1"/>
    <col min="15344" max="15344" width="4.140625" style="60" customWidth="1"/>
    <col min="15345" max="15345" width="1.7109375" style="60" customWidth="1"/>
    <col min="15346" max="15350" width="3.28515625" style="60" customWidth="1"/>
    <col min="15351" max="15351" width="1.7109375" style="60" customWidth="1"/>
    <col min="15352" max="15356" width="3.28515625" style="60" customWidth="1"/>
    <col min="15357" max="15362" width="9.140625" style="60" customWidth="1"/>
    <col min="15363" max="15363" width="1.7109375" style="60" customWidth="1"/>
    <col min="15364" max="15368" width="3.28515625" style="60" customWidth="1"/>
    <col min="15369" max="15369" width="1.7109375" style="60" customWidth="1"/>
    <col min="15370" max="15370" width="16.5703125" style="60" bestFit="1" customWidth="1"/>
    <col min="15371" max="15372" width="10.28515625" style="60" customWidth="1"/>
    <col min="15373" max="15373" width="18" style="60" bestFit="1" customWidth="1"/>
    <col min="15374" max="15558" width="9.140625" style="60"/>
    <col min="15559" max="15566" width="9.140625" style="60" customWidth="1"/>
    <col min="15567" max="15567" width="10.140625" style="60" customWidth="1"/>
    <col min="15568" max="15568" width="1" style="60" customWidth="1"/>
    <col min="15569" max="15571" width="3.28515625" style="60" customWidth="1"/>
    <col min="15572" max="15572" width="1.85546875" style="60" customWidth="1"/>
    <col min="15573" max="15573" width="17.85546875" style="60" customWidth="1"/>
    <col min="15574" max="15574" width="1.85546875" style="60" customWidth="1"/>
    <col min="15575" max="15577" width="3.28515625" style="60" customWidth="1"/>
    <col min="15578" max="15578" width="2.85546875" style="60" customWidth="1"/>
    <col min="15579" max="15579" width="1.85546875" style="60" customWidth="1"/>
    <col min="15580" max="15580" width="19.7109375" style="60" customWidth="1"/>
    <col min="15581" max="15581" width="1.85546875" style="60" customWidth="1"/>
    <col min="15582" max="15584" width="3" style="60" customWidth="1"/>
    <col min="15585" max="15585" width="4.42578125" style="60" customWidth="1"/>
    <col min="15586" max="15587" width="3" style="60" customWidth="1"/>
    <col min="15588" max="15593" width="3.28515625" style="60" customWidth="1"/>
    <col min="15594" max="15595" width="9.140625" style="60" customWidth="1"/>
    <col min="15596" max="15599" width="3.28515625" style="60" customWidth="1"/>
    <col min="15600" max="15600" width="4.140625" style="60" customWidth="1"/>
    <col min="15601" max="15601" width="1.7109375" style="60" customWidth="1"/>
    <col min="15602" max="15606" width="3.28515625" style="60" customWidth="1"/>
    <col min="15607" max="15607" width="1.7109375" style="60" customWidth="1"/>
    <col min="15608" max="15612" width="3.28515625" style="60" customWidth="1"/>
    <col min="15613" max="15618" width="9.140625" style="60" customWidth="1"/>
    <col min="15619" max="15619" width="1.7109375" style="60" customWidth="1"/>
    <col min="15620" max="15624" width="3.28515625" style="60" customWidth="1"/>
    <col min="15625" max="15625" width="1.7109375" style="60" customWidth="1"/>
    <col min="15626" max="15626" width="16.5703125" style="60" bestFit="1" customWidth="1"/>
    <col min="15627" max="15628" width="10.28515625" style="60" customWidth="1"/>
    <col min="15629" max="15629" width="18" style="60" bestFit="1" customWidth="1"/>
    <col min="15630" max="15814" width="9.140625" style="60"/>
    <col min="15815" max="15822" width="9.140625" style="60" customWidth="1"/>
    <col min="15823" max="15823" width="10.140625" style="60" customWidth="1"/>
    <col min="15824" max="15824" width="1" style="60" customWidth="1"/>
    <col min="15825" max="15827" width="3.28515625" style="60" customWidth="1"/>
    <col min="15828" max="15828" width="1.85546875" style="60" customWidth="1"/>
    <col min="15829" max="15829" width="17.85546875" style="60" customWidth="1"/>
    <col min="15830" max="15830" width="1.85546875" style="60" customWidth="1"/>
    <col min="15831" max="15833" width="3.28515625" style="60" customWidth="1"/>
    <col min="15834" max="15834" width="2.85546875" style="60" customWidth="1"/>
    <col min="15835" max="15835" width="1.85546875" style="60" customWidth="1"/>
    <col min="15836" max="15836" width="19.7109375" style="60" customWidth="1"/>
    <col min="15837" max="15837" width="1.85546875" style="60" customWidth="1"/>
    <col min="15838" max="15840" width="3" style="60" customWidth="1"/>
    <col min="15841" max="15841" width="4.42578125" style="60" customWidth="1"/>
    <col min="15842" max="15843" width="3" style="60" customWidth="1"/>
    <col min="15844" max="15849" width="3.28515625" style="60" customWidth="1"/>
    <col min="15850" max="15851" width="9.140625" style="60" customWidth="1"/>
    <col min="15852" max="15855" width="3.28515625" style="60" customWidth="1"/>
    <col min="15856" max="15856" width="4.140625" style="60" customWidth="1"/>
    <col min="15857" max="15857" width="1.7109375" style="60" customWidth="1"/>
    <col min="15858" max="15862" width="3.28515625" style="60" customWidth="1"/>
    <col min="15863" max="15863" width="1.7109375" style="60" customWidth="1"/>
    <col min="15864" max="15868" width="3.28515625" style="60" customWidth="1"/>
    <col min="15869" max="15874" width="9.140625" style="60" customWidth="1"/>
    <col min="15875" max="15875" width="1.7109375" style="60" customWidth="1"/>
    <col min="15876" max="15880" width="3.28515625" style="60" customWidth="1"/>
    <col min="15881" max="15881" width="1.7109375" style="60" customWidth="1"/>
    <col min="15882" max="15882" width="16.5703125" style="60" bestFit="1" customWidth="1"/>
    <col min="15883" max="15884" width="10.28515625" style="60" customWidth="1"/>
    <col min="15885" max="15885" width="18" style="60" bestFit="1" customWidth="1"/>
    <col min="15886" max="16070" width="9.140625" style="60"/>
    <col min="16071" max="16078" width="9.140625" style="60" customWidth="1"/>
    <col min="16079" max="16079" width="10.140625" style="60" customWidth="1"/>
    <col min="16080" max="16080" width="1" style="60" customWidth="1"/>
    <col min="16081" max="16083" width="3.28515625" style="60" customWidth="1"/>
    <col min="16084" max="16084" width="1.85546875" style="60" customWidth="1"/>
    <col min="16085" max="16085" width="17.85546875" style="60" customWidth="1"/>
    <col min="16086" max="16086" width="1.85546875" style="60" customWidth="1"/>
    <col min="16087" max="16089" width="3.28515625" style="60" customWidth="1"/>
    <col min="16090" max="16090" width="2.85546875" style="60" customWidth="1"/>
    <col min="16091" max="16091" width="1.85546875" style="60" customWidth="1"/>
    <col min="16092" max="16092" width="19.7109375" style="60" customWidth="1"/>
    <col min="16093" max="16093" width="1.85546875" style="60" customWidth="1"/>
    <col min="16094" max="16096" width="3" style="60" customWidth="1"/>
    <col min="16097" max="16097" width="4.42578125" style="60" customWidth="1"/>
    <col min="16098" max="16099" width="3" style="60" customWidth="1"/>
    <col min="16100" max="16105" width="3.28515625" style="60" customWidth="1"/>
    <col min="16106" max="16107" width="9.140625" style="60" customWidth="1"/>
    <col min="16108" max="16111" width="3.28515625" style="60" customWidth="1"/>
    <col min="16112" max="16112" width="4.140625" style="60" customWidth="1"/>
    <col min="16113" max="16113" width="1.7109375" style="60" customWidth="1"/>
    <col min="16114" max="16118" width="3.28515625" style="60" customWidth="1"/>
    <col min="16119" max="16119" width="1.7109375" style="60" customWidth="1"/>
    <col min="16120" max="16124" width="3.28515625" style="60" customWidth="1"/>
    <col min="16125" max="16130" width="9.140625" style="60" customWidth="1"/>
    <col min="16131" max="16131" width="1.7109375" style="60" customWidth="1"/>
    <col min="16132" max="16136" width="3.28515625" style="60" customWidth="1"/>
    <col min="16137" max="16137" width="1.7109375" style="60" customWidth="1"/>
    <col min="16138" max="16138" width="16.5703125" style="60" bestFit="1" customWidth="1"/>
    <col min="16139" max="16140" width="10.28515625" style="60" customWidth="1"/>
    <col min="16141" max="16141" width="18" style="60" bestFit="1" customWidth="1"/>
    <col min="16142" max="16384" width="9.140625" style="60"/>
  </cols>
  <sheetData>
    <row r="1" spans="1:29" s="53" customFormat="1" ht="15" customHeight="1">
      <c r="A1" s="568" t="s">
        <v>1218</v>
      </c>
      <c r="D1" s="569"/>
      <c r="F1" s="570"/>
      <c r="G1" s="570"/>
      <c r="Y1" s="407" t="s">
        <v>2835</v>
      </c>
      <c r="Z1" s="408"/>
      <c r="AA1" s="408"/>
      <c r="AB1" s="409"/>
      <c r="AC1" s="571"/>
    </row>
    <row r="2" spans="1:29" s="53" customFormat="1" ht="9.1999999999999993" customHeight="1" thickBot="1">
      <c r="D2" s="569"/>
      <c r="F2" s="570"/>
      <c r="G2" s="570"/>
      <c r="Y2" s="410"/>
      <c r="Z2" s="411"/>
      <c r="AA2" s="411"/>
      <c r="AB2" s="412"/>
      <c r="AC2" s="571"/>
    </row>
    <row r="3" spans="1:29" s="53" customFormat="1" ht="15" customHeight="1">
      <c r="A3" s="60" t="s">
        <v>1220</v>
      </c>
      <c r="D3" s="569"/>
      <c r="F3" s="570"/>
      <c r="G3" s="570"/>
      <c r="AC3" s="571"/>
    </row>
    <row r="4" spans="1:29" s="53" customFormat="1" ht="15" customHeight="1">
      <c r="A4" s="60" t="s">
        <v>1221</v>
      </c>
      <c r="D4" s="569"/>
      <c r="F4" s="570"/>
      <c r="G4" s="570"/>
      <c r="AC4" s="571"/>
    </row>
    <row r="5" spans="1:29" s="53" customFormat="1" ht="15" customHeight="1">
      <c r="D5" s="569"/>
      <c r="F5" s="570"/>
      <c r="G5" s="570"/>
      <c r="AC5" s="571"/>
    </row>
    <row r="6" spans="1:29" ht="76.5" customHeight="1">
      <c r="A6" s="572" t="s">
        <v>2836</v>
      </c>
      <c r="C6" s="573"/>
      <c r="D6" s="574"/>
      <c r="E6" s="573"/>
      <c r="F6" s="575"/>
      <c r="G6" s="575"/>
      <c r="H6" s="573"/>
      <c r="I6" s="573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76"/>
    </row>
    <row r="7" spans="1:29" ht="15" customHeight="1" thickBot="1">
      <c r="B7" s="60"/>
      <c r="C7" s="61"/>
      <c r="E7" s="61"/>
      <c r="F7" s="577"/>
      <c r="G7" s="577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576"/>
    </row>
    <row r="8" spans="1:29" ht="23.45" customHeight="1" thickBot="1">
      <c r="A8" s="881" t="s">
        <v>1223</v>
      </c>
      <c r="B8" s="882"/>
      <c r="C8" s="882"/>
      <c r="D8" s="882"/>
      <c r="E8" s="882"/>
      <c r="F8" s="882"/>
      <c r="G8" s="882"/>
      <c r="H8" s="882"/>
      <c r="I8" s="883"/>
      <c r="J8" s="61"/>
      <c r="K8" s="578" t="s">
        <v>2837</v>
      </c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65"/>
      <c r="AC8" s="576"/>
    </row>
    <row r="9" spans="1:29" ht="15" customHeight="1">
      <c r="A9" s="579"/>
      <c r="B9" s="68"/>
      <c r="C9" s="580"/>
      <c r="D9" s="68"/>
      <c r="E9" s="581"/>
      <c r="F9" s="581"/>
      <c r="G9" s="68"/>
      <c r="H9" s="68"/>
      <c r="I9" s="69"/>
      <c r="J9" s="61"/>
      <c r="K9" s="295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  <c r="AC9" s="576"/>
    </row>
    <row r="10" spans="1:29" ht="15" customHeight="1">
      <c r="A10" s="582" t="s">
        <v>1224</v>
      </c>
      <c r="B10" s="301">
        <v>60</v>
      </c>
      <c r="C10" s="756" t="s">
        <v>1957</v>
      </c>
      <c r="D10" s="582" t="s">
        <v>2653</v>
      </c>
      <c r="E10" s="71" t="s">
        <v>4496</v>
      </c>
      <c r="F10" s="71">
        <v>9</v>
      </c>
      <c r="G10" s="71">
        <v>6</v>
      </c>
      <c r="H10" s="71">
        <v>0</v>
      </c>
      <c r="I10" s="72"/>
      <c r="J10" s="61"/>
      <c r="K10" s="583" t="s">
        <v>2838</v>
      </c>
      <c r="L10" s="584"/>
      <c r="M10" s="584"/>
      <c r="N10" s="584"/>
      <c r="O10" s="584"/>
      <c r="P10" s="585"/>
      <c r="Q10" s="585"/>
      <c r="R10" s="586">
        <v>2</v>
      </c>
      <c r="S10" s="586">
        <v>0</v>
      </c>
      <c r="T10" s="586">
        <v>2</v>
      </c>
      <c r="U10" s="586">
        <v>4</v>
      </c>
      <c r="V10" s="585"/>
      <c r="W10" s="585"/>
      <c r="X10" s="585"/>
      <c r="Y10" s="585"/>
      <c r="Z10" s="585"/>
      <c r="AA10" s="585"/>
      <c r="AB10" s="587"/>
      <c r="AC10" s="576"/>
    </row>
    <row r="11" spans="1:29">
      <c r="A11" s="588"/>
      <c r="C11" s="589"/>
      <c r="D11" s="61"/>
      <c r="E11" s="577"/>
      <c r="F11" s="577"/>
      <c r="G11" s="61"/>
      <c r="H11" s="61"/>
      <c r="I11" s="72"/>
      <c r="J11" s="61"/>
      <c r="K11" s="297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72"/>
      <c r="AC11" s="576"/>
    </row>
    <row r="12" spans="1:29" ht="15" customHeight="1">
      <c r="A12" s="588"/>
      <c r="C12" s="589"/>
      <c r="D12" s="61"/>
      <c r="E12" s="577"/>
      <c r="F12" s="577"/>
      <c r="G12" s="61"/>
      <c r="H12" s="61"/>
      <c r="I12" s="72"/>
      <c r="J12" s="61"/>
      <c r="K12" s="590" t="s">
        <v>2839</v>
      </c>
      <c r="L12" s="591"/>
      <c r="M12" s="591"/>
      <c r="N12" s="591"/>
      <c r="O12" s="591"/>
      <c r="P12" s="591"/>
      <c r="Q12" s="61">
        <v>1</v>
      </c>
      <c r="R12" s="71"/>
      <c r="S12" s="61"/>
      <c r="T12" s="61">
        <v>2</v>
      </c>
      <c r="U12" s="71"/>
      <c r="V12" s="61"/>
      <c r="W12" s="61">
        <v>3</v>
      </c>
      <c r="X12" s="71"/>
      <c r="Y12" s="61"/>
      <c r="Z12" s="61">
        <v>4</v>
      </c>
      <c r="AA12" s="71"/>
      <c r="AB12" s="72"/>
      <c r="AC12" s="576"/>
    </row>
    <row r="13" spans="1:29" ht="10.15" customHeight="1">
      <c r="A13" s="588"/>
      <c r="C13" s="589"/>
      <c r="D13" s="61"/>
      <c r="E13" s="577"/>
      <c r="F13" s="577"/>
      <c r="G13" s="61"/>
      <c r="H13" s="61"/>
      <c r="I13" s="72"/>
      <c r="J13" s="61"/>
      <c r="K13" s="297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72"/>
      <c r="AC13" s="576"/>
    </row>
    <row r="14" spans="1:29" ht="15" customHeight="1">
      <c r="A14" s="588"/>
      <c r="C14" s="589"/>
      <c r="D14" s="61"/>
      <c r="E14" s="577"/>
      <c r="F14" s="577"/>
      <c r="G14" s="61"/>
      <c r="H14" s="61"/>
      <c r="I14" s="72"/>
      <c r="J14" s="61"/>
      <c r="K14" s="590" t="s">
        <v>1955</v>
      </c>
      <c r="L14" s="591"/>
      <c r="M14" s="591"/>
      <c r="N14" s="591"/>
      <c r="O14" s="591"/>
      <c r="P14" s="591"/>
      <c r="Q14" s="61"/>
      <c r="R14" s="71"/>
      <c r="S14" s="61"/>
      <c r="T14" s="61"/>
      <c r="U14" s="591" t="s">
        <v>2840</v>
      </c>
      <c r="V14" s="73"/>
      <c r="W14" s="73"/>
      <c r="X14" s="73"/>
      <c r="Y14" s="73"/>
      <c r="Z14" s="413"/>
      <c r="AA14" s="71" t="s">
        <v>4497</v>
      </c>
      <c r="AB14" s="72"/>
      <c r="AC14" s="576"/>
    </row>
    <row r="15" spans="1:29" ht="15" customHeight="1" thickBot="1">
      <c r="A15" s="592"/>
      <c r="B15" s="76"/>
      <c r="C15" s="593"/>
      <c r="D15" s="76"/>
      <c r="E15" s="594"/>
      <c r="F15" s="594"/>
      <c r="G15" s="76"/>
      <c r="H15" s="76"/>
      <c r="I15" s="77"/>
      <c r="J15" s="61"/>
      <c r="K15" s="299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576"/>
    </row>
    <row r="16" spans="1:29" ht="7.5" customHeight="1">
      <c r="B16" s="60"/>
      <c r="C16" s="61"/>
      <c r="D16" s="589"/>
      <c r="E16" s="61"/>
      <c r="F16" s="577"/>
      <c r="G16" s="577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576"/>
    </row>
    <row r="17" spans="1:29" ht="7.5" customHeight="1">
      <c r="B17" s="60"/>
      <c r="C17" s="61"/>
      <c r="D17" s="589"/>
      <c r="E17" s="61"/>
      <c r="F17" s="577"/>
      <c r="G17" s="577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576"/>
    </row>
    <row r="18" spans="1:29" ht="7.5" customHeight="1">
      <c r="B18" s="60"/>
      <c r="C18" s="61"/>
      <c r="D18" s="589"/>
      <c r="E18" s="61"/>
      <c r="F18" s="577"/>
      <c r="G18" s="577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576"/>
    </row>
    <row r="19" spans="1:29" ht="7.5" customHeight="1" thickBot="1">
      <c r="B19" s="60"/>
      <c r="C19" s="61"/>
      <c r="D19" s="589"/>
      <c r="E19" s="61"/>
      <c r="F19" s="577"/>
      <c r="G19" s="577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576"/>
    </row>
    <row r="20" spans="1:29" ht="23.45" customHeight="1" thickBot="1">
      <c r="A20" s="881" t="s">
        <v>1226</v>
      </c>
      <c r="B20" s="882"/>
      <c r="C20" s="882"/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82"/>
      <c r="R20" s="882"/>
      <c r="S20" s="882"/>
      <c r="T20" s="882"/>
      <c r="U20" s="882"/>
      <c r="V20" s="882"/>
      <c r="W20" s="882"/>
      <c r="X20" s="882"/>
      <c r="Y20" s="882"/>
      <c r="Z20" s="882"/>
      <c r="AA20" s="882"/>
      <c r="AB20" s="883"/>
      <c r="AC20" s="576"/>
    </row>
    <row r="21" spans="1:29" ht="15" customHeight="1">
      <c r="A21" s="595"/>
      <c r="B21" s="596"/>
      <c r="C21" s="80"/>
      <c r="D21" s="597"/>
      <c r="E21" s="80"/>
      <c r="F21" s="598"/>
      <c r="G21" s="599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  <c r="Z21" s="600"/>
      <c r="AA21" s="600"/>
      <c r="AB21" s="601"/>
      <c r="AC21" s="576"/>
    </row>
    <row r="22" spans="1:29" ht="15" customHeight="1">
      <c r="A22" s="297"/>
      <c r="C22" s="61"/>
      <c r="D22" s="61"/>
      <c r="E22" s="73"/>
      <c r="F22" s="61"/>
      <c r="G22" s="602"/>
      <c r="I22" s="73" t="s">
        <v>1956</v>
      </c>
      <c r="J22" s="71"/>
      <c r="K22" s="61"/>
      <c r="L22" s="61"/>
      <c r="M22" s="73" t="s">
        <v>1227</v>
      </c>
      <c r="N22" s="7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72"/>
      <c r="AC22" s="576"/>
    </row>
    <row r="23" spans="1:29" ht="15" customHeight="1" thickBot="1">
      <c r="A23" s="299"/>
      <c r="B23" s="76"/>
      <c r="C23" s="76"/>
      <c r="D23" s="593"/>
      <c r="E23" s="76"/>
      <c r="F23" s="594"/>
      <c r="G23" s="594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576"/>
    </row>
    <row r="24" spans="1:29" ht="7.5" customHeight="1">
      <c r="C24" s="61"/>
      <c r="D24" s="589"/>
      <c r="E24" s="68"/>
      <c r="F24" s="581"/>
      <c r="G24" s="581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576"/>
    </row>
    <row r="25" spans="1:29" ht="7.5" customHeight="1">
      <c r="C25" s="61"/>
      <c r="D25" s="589"/>
      <c r="E25" s="61"/>
      <c r="F25" s="577"/>
      <c r="G25" s="577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576"/>
    </row>
    <row r="26" spans="1:29" ht="7.5" customHeight="1">
      <c r="C26" s="61"/>
      <c r="D26" s="589"/>
      <c r="E26" s="61"/>
      <c r="F26" s="577"/>
      <c r="G26" s="577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576"/>
    </row>
    <row r="27" spans="1:29" ht="7.5" customHeight="1">
      <c r="C27" s="61"/>
      <c r="D27" s="589"/>
      <c r="E27" s="61"/>
      <c r="F27" s="577"/>
      <c r="G27" s="577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576"/>
    </row>
    <row r="28" spans="1:29" ht="21.75" customHeight="1" thickBot="1">
      <c r="A28" s="603"/>
      <c r="B28" s="603"/>
      <c r="C28" s="603"/>
      <c r="D28" s="589" t="s">
        <v>2841</v>
      </c>
      <c r="E28" s="603"/>
      <c r="F28" s="604"/>
      <c r="G28" s="604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Y28" s="605"/>
      <c r="Z28" s="605"/>
      <c r="AA28" s="605"/>
      <c r="AB28" s="605"/>
    </row>
    <row r="29" spans="1:29" ht="51.75" customHeight="1" thickBot="1">
      <c r="A29" s="606" t="s">
        <v>1228</v>
      </c>
      <c r="B29" s="607" t="s">
        <v>1229</v>
      </c>
      <c r="C29" s="608" t="s">
        <v>1230</v>
      </c>
      <c r="D29" s="609" t="s">
        <v>3898</v>
      </c>
      <c r="E29" s="610" t="s">
        <v>2842</v>
      </c>
      <c r="F29" s="611"/>
      <c r="G29" s="612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</row>
    <row r="30" spans="1:29" s="620" customFormat="1" ht="24.95" customHeight="1">
      <c r="A30" s="614"/>
      <c r="B30" s="615" t="s">
        <v>2843</v>
      </c>
      <c r="C30" s="616" t="s">
        <v>2844</v>
      </c>
      <c r="D30" s="617">
        <f>+D31+D58+D95</f>
        <v>443347.45999999996</v>
      </c>
      <c r="E30" s="617">
        <f>+E31+E58+E95</f>
        <v>421699.63999999996</v>
      </c>
      <c r="F30" s="618"/>
      <c r="G30" s="619"/>
      <c r="J30" s="621"/>
    </row>
    <row r="31" spans="1:29" s="620" customFormat="1" ht="24.95" customHeight="1">
      <c r="A31" s="622"/>
      <c r="B31" s="623" t="s">
        <v>2845</v>
      </c>
      <c r="C31" s="624" t="s">
        <v>2846</v>
      </c>
      <c r="D31" s="625">
        <f>+D32+D35+D38+D43+D44-D53</f>
        <v>2339.8999999999942</v>
      </c>
      <c r="E31" s="625">
        <f>+E32+E35+E38+E43+E44-E53</f>
        <v>6068.1800000000076</v>
      </c>
      <c r="F31" s="626"/>
      <c r="G31" s="619"/>
      <c r="J31" s="621"/>
    </row>
    <row r="32" spans="1:29" s="631" customFormat="1" ht="24.95" customHeight="1">
      <c r="A32" s="627"/>
      <c r="B32" s="628" t="s">
        <v>2847</v>
      </c>
      <c r="C32" s="629" t="s">
        <v>2848</v>
      </c>
      <c r="D32" s="630">
        <f>+D33-D34</f>
        <v>0</v>
      </c>
      <c r="E32" s="630">
        <f>+E33-E34</f>
        <v>0</v>
      </c>
      <c r="F32" s="618"/>
      <c r="G32" s="619"/>
      <c r="J32" s="621"/>
      <c r="K32" s="620"/>
    </row>
    <row r="33" spans="1:11" s="637" customFormat="1" ht="24.95" customHeight="1">
      <c r="A33" s="632"/>
      <c r="B33" s="633" t="s">
        <v>2849</v>
      </c>
      <c r="C33" s="634" t="s">
        <v>2850</v>
      </c>
      <c r="D33" s="635">
        <f>+'SP Att Alim'!F7</f>
        <v>0</v>
      </c>
      <c r="E33" s="635">
        <f>+'SP Att Alim'!G7</f>
        <v>0</v>
      </c>
      <c r="F33" s="618"/>
      <c r="G33" s="636"/>
      <c r="J33" s="621"/>
      <c r="K33" s="620"/>
    </row>
    <row r="34" spans="1:11" s="637" customFormat="1" ht="24.95" customHeight="1">
      <c r="A34" s="632"/>
      <c r="B34" s="633" t="s">
        <v>2851</v>
      </c>
      <c r="C34" s="634" t="s">
        <v>2852</v>
      </c>
      <c r="D34" s="635">
        <f>-'SP Att Alim'!F9</f>
        <v>0</v>
      </c>
      <c r="E34" s="635">
        <f>-'SP Att Alim'!G9</f>
        <v>0</v>
      </c>
      <c r="F34" s="618"/>
      <c r="G34" s="636"/>
      <c r="J34" s="621"/>
      <c r="K34" s="620"/>
    </row>
    <row r="35" spans="1:11" s="637" customFormat="1" ht="24.95" customHeight="1">
      <c r="A35" s="638"/>
      <c r="B35" s="628" t="s">
        <v>2853</v>
      </c>
      <c r="C35" s="629" t="s">
        <v>2854</v>
      </c>
      <c r="D35" s="630">
        <f>+D36-D37</f>
        <v>0</v>
      </c>
      <c r="E35" s="630">
        <f>+E36-E37</f>
        <v>0</v>
      </c>
      <c r="F35" s="618"/>
      <c r="G35" s="636"/>
      <c r="J35" s="621"/>
      <c r="K35" s="620"/>
    </row>
    <row r="36" spans="1:11" s="637" customFormat="1" ht="24.95" customHeight="1">
      <c r="A36" s="632"/>
      <c r="B36" s="633" t="s">
        <v>2855</v>
      </c>
      <c r="C36" s="634" t="s">
        <v>2856</v>
      </c>
      <c r="D36" s="635">
        <f>+'SP Att Alim'!F12</f>
        <v>0</v>
      </c>
      <c r="E36" s="635">
        <f>+'SP Att Alim'!G12</f>
        <v>0</v>
      </c>
      <c r="F36" s="618"/>
      <c r="G36" s="636"/>
      <c r="J36" s="621"/>
      <c r="K36" s="620"/>
    </row>
    <row r="37" spans="1:11" s="637" customFormat="1" ht="24.95" customHeight="1">
      <c r="A37" s="632"/>
      <c r="B37" s="633" t="s">
        <v>2857</v>
      </c>
      <c r="C37" s="634" t="s">
        <v>2858</v>
      </c>
      <c r="D37" s="635">
        <f>-'SP Att Alim'!F14</f>
        <v>0</v>
      </c>
      <c r="E37" s="635">
        <f>-'SP Att Alim'!G14</f>
        <v>0</v>
      </c>
      <c r="F37" s="618"/>
      <c r="G37" s="636"/>
      <c r="J37" s="621"/>
      <c r="K37" s="620"/>
    </row>
    <row r="38" spans="1:11" s="637" customFormat="1" ht="24.95" customHeight="1">
      <c r="A38" s="638"/>
      <c r="B38" s="628" t="s">
        <v>2859</v>
      </c>
      <c r="C38" s="629" t="s">
        <v>2860</v>
      </c>
      <c r="D38" s="630">
        <f>+D39-D40+D41-D42</f>
        <v>0</v>
      </c>
      <c r="E38" s="630">
        <f>+E39-E40+E41-E42</f>
        <v>0</v>
      </c>
      <c r="F38" s="618"/>
      <c r="G38" s="636"/>
      <c r="J38" s="621"/>
      <c r="K38" s="620"/>
    </row>
    <row r="39" spans="1:11" s="637" customFormat="1" ht="34.5" customHeight="1">
      <c r="A39" s="632"/>
      <c r="B39" s="633" t="s">
        <v>2861</v>
      </c>
      <c r="C39" s="634" t="s">
        <v>2862</v>
      </c>
      <c r="D39" s="635">
        <f>+'SP Att Alim'!F17</f>
        <v>0</v>
      </c>
      <c r="E39" s="635">
        <f>+'SP Att Alim'!G17</f>
        <v>0</v>
      </c>
      <c r="F39" s="618"/>
      <c r="G39" s="636"/>
      <c r="J39" s="621"/>
      <c r="K39" s="620"/>
    </row>
    <row r="40" spans="1:11" s="637" customFormat="1" ht="34.5" customHeight="1">
      <c r="A40" s="632"/>
      <c r="B40" s="633" t="s">
        <v>2863</v>
      </c>
      <c r="C40" s="634" t="s">
        <v>2864</v>
      </c>
      <c r="D40" s="635">
        <f>-'SP Att Alim'!F19</f>
        <v>0</v>
      </c>
      <c r="E40" s="635">
        <f>-'SP Att Alim'!G19</f>
        <v>0</v>
      </c>
      <c r="F40" s="618"/>
      <c r="G40" s="636"/>
      <c r="J40" s="621"/>
      <c r="K40" s="620"/>
    </row>
    <row r="41" spans="1:11" s="637" customFormat="1" ht="34.5" customHeight="1">
      <c r="A41" s="632"/>
      <c r="B41" s="633" t="s">
        <v>2865</v>
      </c>
      <c r="C41" s="634" t="s">
        <v>2866</v>
      </c>
      <c r="D41" s="635">
        <f>+'SP Att Alim'!F21</f>
        <v>0</v>
      </c>
      <c r="E41" s="635">
        <f>+'SP Att Alim'!G21</f>
        <v>0</v>
      </c>
      <c r="F41" s="618"/>
      <c r="G41" s="636"/>
      <c r="J41" s="621"/>
      <c r="K41" s="620"/>
    </row>
    <row r="42" spans="1:11" s="637" customFormat="1" ht="34.5" customHeight="1">
      <c r="A42" s="632"/>
      <c r="B42" s="633" t="s">
        <v>2867</v>
      </c>
      <c r="C42" s="634" t="s">
        <v>2868</v>
      </c>
      <c r="D42" s="635">
        <f>-'SP Att Alim'!F23</f>
        <v>0</v>
      </c>
      <c r="E42" s="635">
        <f>-'SP Att Alim'!G23</f>
        <v>0</v>
      </c>
      <c r="F42" s="618"/>
      <c r="G42" s="636"/>
      <c r="J42" s="621"/>
      <c r="K42" s="620"/>
    </row>
    <row r="43" spans="1:11" s="637" customFormat="1" ht="24.95" customHeight="1">
      <c r="A43" s="632"/>
      <c r="B43" s="639" t="s">
        <v>2869</v>
      </c>
      <c r="C43" s="640" t="s">
        <v>2870</v>
      </c>
      <c r="D43" s="635">
        <f>+'SP Att Alim'!F25</f>
        <v>0</v>
      </c>
      <c r="E43" s="635">
        <f>+'SP Att Alim'!G25</f>
        <v>0</v>
      </c>
      <c r="F43" s="618"/>
      <c r="G43" s="636"/>
      <c r="J43" s="621"/>
      <c r="K43" s="620"/>
    </row>
    <row r="44" spans="1:11" s="637" customFormat="1" ht="24.95" customHeight="1">
      <c r="A44" s="638"/>
      <c r="B44" s="628" t="s">
        <v>2871</v>
      </c>
      <c r="C44" s="629" t="s">
        <v>2872</v>
      </c>
      <c r="D44" s="630">
        <f>+D45-D46+D47-D48+D49-D50+D51-D52</f>
        <v>2339.8999999999942</v>
      </c>
      <c r="E44" s="630">
        <f>+E45-E46+E47-E48+E49-E50+E51-E52</f>
        <v>6068.1800000000076</v>
      </c>
      <c r="F44" s="618"/>
      <c r="G44" s="636"/>
      <c r="J44" s="621"/>
      <c r="K44" s="620"/>
    </row>
    <row r="45" spans="1:11" s="637" customFormat="1" ht="24.95" customHeight="1">
      <c r="A45" s="632"/>
      <c r="B45" s="633" t="s">
        <v>2873</v>
      </c>
      <c r="C45" s="634" t="s">
        <v>2874</v>
      </c>
      <c r="D45" s="635">
        <f>+'SP Att Alim'!F28</f>
        <v>0</v>
      </c>
      <c r="E45" s="635">
        <f>+'SP Att Alim'!G28</f>
        <v>0</v>
      </c>
      <c r="F45" s="618"/>
      <c r="G45" s="636"/>
      <c r="J45" s="621"/>
      <c r="K45" s="620"/>
    </row>
    <row r="46" spans="1:11" s="637" customFormat="1" ht="24.95" customHeight="1">
      <c r="A46" s="632"/>
      <c r="B46" s="633" t="s">
        <v>2875</v>
      </c>
      <c r="C46" s="634" t="s">
        <v>2876</v>
      </c>
      <c r="D46" s="635">
        <f>-'SP Att Alim'!F30</f>
        <v>0</v>
      </c>
      <c r="E46" s="635">
        <f>-'SP Att Alim'!G30</f>
        <v>0</v>
      </c>
      <c r="F46" s="618"/>
      <c r="G46" s="636"/>
      <c r="J46" s="621"/>
      <c r="K46" s="620"/>
    </row>
    <row r="47" spans="1:11" s="637" customFormat="1" ht="24.95" customHeight="1">
      <c r="A47" s="632"/>
      <c r="B47" s="633" t="s">
        <v>2877</v>
      </c>
      <c r="C47" s="634" t="s">
        <v>2878</v>
      </c>
      <c r="D47" s="635">
        <f>+'SP Att Alim'!F32</f>
        <v>0</v>
      </c>
      <c r="E47" s="635">
        <f>+'SP Att Alim'!G32</f>
        <v>0</v>
      </c>
      <c r="F47" s="618"/>
      <c r="G47" s="636"/>
      <c r="J47" s="621"/>
      <c r="K47" s="620"/>
    </row>
    <row r="48" spans="1:11" s="637" customFormat="1" ht="24.95" customHeight="1">
      <c r="A48" s="632"/>
      <c r="B48" s="633" t="s">
        <v>2879</v>
      </c>
      <c r="C48" s="634" t="s">
        <v>2880</v>
      </c>
      <c r="D48" s="635">
        <f>-'SP Att Alim'!F34</f>
        <v>0</v>
      </c>
      <c r="E48" s="635">
        <f>-'SP Att Alim'!G34</f>
        <v>0</v>
      </c>
      <c r="F48" s="618"/>
      <c r="G48" s="636"/>
      <c r="J48" s="621"/>
      <c r="K48" s="620"/>
    </row>
    <row r="49" spans="1:11" s="637" customFormat="1" ht="24.95" customHeight="1">
      <c r="A49" s="632"/>
      <c r="B49" s="633" t="s">
        <v>2881</v>
      </c>
      <c r="C49" s="634" t="s">
        <v>2882</v>
      </c>
      <c r="D49" s="635">
        <f>+'SP Att Alim'!F36</f>
        <v>0</v>
      </c>
      <c r="E49" s="635">
        <f>+'SP Att Alim'!G36</f>
        <v>0</v>
      </c>
      <c r="F49" s="618"/>
      <c r="G49" s="636"/>
      <c r="J49" s="621"/>
      <c r="K49" s="620"/>
    </row>
    <row r="50" spans="1:11" s="637" customFormat="1" ht="24.95" customHeight="1">
      <c r="A50" s="632"/>
      <c r="B50" s="633" t="s">
        <v>2883</v>
      </c>
      <c r="C50" s="634" t="s">
        <v>2884</v>
      </c>
      <c r="D50" s="635">
        <f>-'SP Att Alim'!F38</f>
        <v>0</v>
      </c>
      <c r="E50" s="635">
        <f>-'SP Att Alim'!G38</f>
        <v>0</v>
      </c>
      <c r="F50" s="618"/>
      <c r="G50" s="636"/>
      <c r="J50" s="621"/>
      <c r="K50" s="620"/>
    </row>
    <row r="51" spans="1:11" s="637" customFormat="1" ht="24.95" customHeight="1">
      <c r="A51" s="632"/>
      <c r="B51" s="633" t="s">
        <v>2885</v>
      </c>
      <c r="C51" s="634" t="s">
        <v>2886</v>
      </c>
      <c r="D51" s="635">
        <f>+'SP Att Alim'!F40</f>
        <v>120526.9</v>
      </c>
      <c r="E51" s="635">
        <f>+'SP Att Alim'!G40</f>
        <v>122766.82</v>
      </c>
      <c r="F51" s="618"/>
      <c r="G51" s="636"/>
      <c r="J51" s="621"/>
      <c r="K51" s="620"/>
    </row>
    <row r="52" spans="1:11" s="637" customFormat="1" ht="24.95" customHeight="1">
      <c r="A52" s="632"/>
      <c r="B52" s="633" t="s">
        <v>2887</v>
      </c>
      <c r="C52" s="634" t="s">
        <v>2888</v>
      </c>
      <c r="D52" s="635">
        <f>-'SP Att Alim'!F42</f>
        <v>118187</v>
      </c>
      <c r="E52" s="635">
        <f>-'SP Att Alim'!G42</f>
        <v>116698.64</v>
      </c>
      <c r="F52" s="618"/>
      <c r="G52" s="636"/>
      <c r="J52" s="621"/>
      <c r="K52" s="620"/>
    </row>
    <row r="53" spans="1:11" s="637" customFormat="1" ht="24.95" customHeight="1">
      <c r="A53" s="638"/>
      <c r="B53" s="628" t="s">
        <v>2889</v>
      </c>
      <c r="C53" s="629" t="s">
        <v>2890</v>
      </c>
      <c r="D53" s="630">
        <f>SUM(D54:D57)</f>
        <v>0</v>
      </c>
      <c r="E53" s="630">
        <f>SUM(E54:E57)</f>
        <v>0</v>
      </c>
      <c r="F53" s="618"/>
      <c r="G53" s="636"/>
      <c r="J53" s="621"/>
      <c r="K53" s="620"/>
    </row>
    <row r="54" spans="1:11" s="637" customFormat="1" ht="24.95" customHeight="1">
      <c r="A54" s="641"/>
      <c r="B54" s="633" t="s">
        <v>2891</v>
      </c>
      <c r="C54" s="634" t="s">
        <v>2892</v>
      </c>
      <c r="D54" s="635">
        <f>-'SP Att Alim'!F45</f>
        <v>0</v>
      </c>
      <c r="E54" s="635">
        <f>-'SP Att Alim'!G45</f>
        <v>0</v>
      </c>
      <c r="F54" s="618"/>
      <c r="G54" s="636"/>
      <c r="J54" s="621"/>
      <c r="K54" s="620"/>
    </row>
    <row r="55" spans="1:11" s="637" customFormat="1" ht="24.95" customHeight="1">
      <c r="A55" s="632"/>
      <c r="B55" s="633" t="s">
        <v>2893</v>
      </c>
      <c r="C55" s="634" t="s">
        <v>2894</v>
      </c>
      <c r="D55" s="635">
        <f>-'SP Att Alim'!F47</f>
        <v>0</v>
      </c>
      <c r="E55" s="635">
        <f>-'SP Att Alim'!G47</f>
        <v>0</v>
      </c>
      <c r="F55" s="618"/>
      <c r="G55" s="636"/>
      <c r="J55" s="621"/>
      <c r="K55" s="620"/>
    </row>
    <row r="56" spans="1:11" s="637" customFormat="1" ht="24.95" customHeight="1">
      <c r="A56" s="632"/>
      <c r="B56" s="633" t="s">
        <v>2895</v>
      </c>
      <c r="C56" s="634" t="s">
        <v>2896</v>
      </c>
      <c r="D56" s="635">
        <f>-'SP Att Alim'!F49</f>
        <v>0</v>
      </c>
      <c r="E56" s="635">
        <f>-'SP Att Alim'!G49</f>
        <v>0</v>
      </c>
      <c r="F56" s="618"/>
      <c r="G56" s="636"/>
      <c r="J56" s="621"/>
      <c r="K56" s="620"/>
    </row>
    <row r="57" spans="1:11" s="637" customFormat="1" ht="24.95" customHeight="1" thickBot="1">
      <c r="A57" s="642"/>
      <c r="B57" s="643" t="s">
        <v>2897</v>
      </c>
      <c r="C57" s="644" t="s">
        <v>2898</v>
      </c>
      <c r="D57" s="635">
        <f>-'SP Att Alim'!F51</f>
        <v>0</v>
      </c>
      <c r="E57" s="635">
        <f>-'SP Att Alim'!G51</f>
        <v>0</v>
      </c>
      <c r="F57" s="618"/>
      <c r="G57" s="636"/>
      <c r="J57" s="621"/>
      <c r="K57" s="620"/>
    </row>
    <row r="58" spans="1:11" s="637" customFormat="1" ht="24.95" customHeight="1">
      <c r="A58" s="645"/>
      <c r="B58" s="646" t="s">
        <v>2899</v>
      </c>
      <c r="C58" s="647" t="s">
        <v>2900</v>
      </c>
      <c r="D58" s="648">
        <f>+D59+D62+D69+D72+D75+D78+D81+D82+D85-D86</f>
        <v>441007.55999999994</v>
      </c>
      <c r="E58" s="648">
        <f>+E59+E62+E69+E72+E75+E78+E81+E82+E85-E86</f>
        <v>415631.45999999996</v>
      </c>
      <c r="F58" s="626"/>
      <c r="G58" s="619"/>
      <c r="J58" s="621"/>
      <c r="K58" s="620"/>
    </row>
    <row r="59" spans="1:11" s="637" customFormat="1" ht="24.95" customHeight="1">
      <c r="A59" s="638"/>
      <c r="B59" s="628" t="s">
        <v>2901</v>
      </c>
      <c r="C59" s="629" t="s">
        <v>2902</v>
      </c>
      <c r="D59" s="630">
        <f>+D60+D61</f>
        <v>0</v>
      </c>
      <c r="E59" s="630">
        <f>+E60+E61</f>
        <v>0</v>
      </c>
      <c r="F59" s="618"/>
      <c r="G59" s="619"/>
      <c r="J59" s="621"/>
      <c r="K59" s="620"/>
    </row>
    <row r="60" spans="1:11" s="637" customFormat="1" ht="24.95" customHeight="1">
      <c r="A60" s="632"/>
      <c r="B60" s="633" t="s">
        <v>2903</v>
      </c>
      <c r="C60" s="634" t="s">
        <v>2904</v>
      </c>
      <c r="D60" s="635">
        <f>+'SP Att Alim'!F55</f>
        <v>0</v>
      </c>
      <c r="E60" s="635">
        <f>+'SP Att Alim'!G55</f>
        <v>0</v>
      </c>
      <c r="F60" s="618"/>
      <c r="G60" s="636"/>
      <c r="J60" s="621"/>
      <c r="K60" s="620"/>
    </row>
    <row r="61" spans="1:11" s="637" customFormat="1" ht="24.95" customHeight="1">
      <c r="A61" s="632"/>
      <c r="B61" s="633" t="s">
        <v>2905</v>
      </c>
      <c r="C61" s="634" t="s">
        <v>2906</v>
      </c>
      <c r="D61" s="635">
        <f>+'SP Att Alim'!F57</f>
        <v>0</v>
      </c>
      <c r="E61" s="635">
        <f>+'SP Att Alim'!G57</f>
        <v>0</v>
      </c>
      <c r="F61" s="618"/>
      <c r="G61" s="636"/>
      <c r="J61" s="621"/>
      <c r="K61" s="620"/>
    </row>
    <row r="62" spans="1:11" s="637" customFormat="1" ht="24.95" customHeight="1">
      <c r="A62" s="638"/>
      <c r="B62" s="628" t="s">
        <v>2907</v>
      </c>
      <c r="C62" s="629" t="s">
        <v>2908</v>
      </c>
      <c r="D62" s="630">
        <f>+D63+D66</f>
        <v>0</v>
      </c>
      <c r="E62" s="630">
        <f>+E63+E66</f>
        <v>0</v>
      </c>
      <c r="F62" s="618"/>
      <c r="G62" s="636"/>
      <c r="J62" s="621"/>
      <c r="K62" s="620"/>
    </row>
    <row r="63" spans="1:11" s="637" customFormat="1" ht="24.95" customHeight="1">
      <c r="A63" s="632"/>
      <c r="B63" s="633" t="s">
        <v>2909</v>
      </c>
      <c r="C63" s="634" t="s">
        <v>2910</v>
      </c>
      <c r="D63" s="635">
        <f>+D64-D65</f>
        <v>0</v>
      </c>
      <c r="E63" s="635">
        <f>+E64-E65</f>
        <v>0</v>
      </c>
      <c r="F63" s="757" t="s">
        <v>1835</v>
      </c>
      <c r="G63" s="636"/>
      <c r="J63" s="621"/>
      <c r="K63" s="620"/>
    </row>
    <row r="64" spans="1:11" s="637" customFormat="1" ht="24.95" customHeight="1">
      <c r="A64" s="632"/>
      <c r="B64" s="633" t="s">
        <v>2911</v>
      </c>
      <c r="C64" s="634" t="s">
        <v>2912</v>
      </c>
      <c r="D64" s="635">
        <f>+'SP Att Alim'!F61</f>
        <v>0</v>
      </c>
      <c r="E64" s="635">
        <f>+'SP Att Alim'!G61</f>
        <v>0</v>
      </c>
      <c r="F64" s="618"/>
      <c r="G64" s="636"/>
      <c r="J64" s="621"/>
      <c r="K64" s="620"/>
    </row>
    <row r="65" spans="1:11" s="637" customFormat="1" ht="24.95" customHeight="1">
      <c r="A65" s="632"/>
      <c r="B65" s="633" t="s">
        <v>2913</v>
      </c>
      <c r="C65" s="634" t="s">
        <v>2914</v>
      </c>
      <c r="D65" s="635">
        <f>-'SP Att Alim'!F63</f>
        <v>0</v>
      </c>
      <c r="E65" s="635">
        <f>-'SP Att Alim'!G63</f>
        <v>0</v>
      </c>
      <c r="F65" s="618"/>
      <c r="G65" s="636"/>
      <c r="J65" s="621"/>
      <c r="K65" s="620"/>
    </row>
    <row r="66" spans="1:11" s="637" customFormat="1" ht="24.95" customHeight="1">
      <c r="A66" s="632"/>
      <c r="B66" s="633" t="s">
        <v>2915</v>
      </c>
      <c r="C66" s="634" t="s">
        <v>2916</v>
      </c>
      <c r="D66" s="635">
        <f>+D67-D68</f>
        <v>0</v>
      </c>
      <c r="E66" s="635">
        <f>+E67-E68</f>
        <v>0</v>
      </c>
      <c r="F66" s="757" t="s">
        <v>1835</v>
      </c>
      <c r="G66" s="636"/>
      <c r="J66" s="621"/>
      <c r="K66" s="620"/>
    </row>
    <row r="67" spans="1:11" s="637" customFormat="1" ht="24.95" customHeight="1">
      <c r="A67" s="632"/>
      <c r="B67" s="633" t="s">
        <v>2917</v>
      </c>
      <c r="C67" s="634" t="s">
        <v>2918</v>
      </c>
      <c r="D67" s="635">
        <f>+'SP Att Alim'!F66</f>
        <v>0</v>
      </c>
      <c r="E67" s="635">
        <f>+'SP Att Alim'!G66</f>
        <v>0</v>
      </c>
      <c r="F67" s="618"/>
      <c r="G67" s="636"/>
      <c r="J67" s="621"/>
      <c r="K67" s="620"/>
    </row>
    <row r="68" spans="1:11" s="637" customFormat="1" ht="24.95" customHeight="1">
      <c r="A68" s="632"/>
      <c r="B68" s="633" t="s">
        <v>2919</v>
      </c>
      <c r="C68" s="634" t="s">
        <v>2920</v>
      </c>
      <c r="D68" s="635">
        <f>-'SP Att Alim'!F68</f>
        <v>0</v>
      </c>
      <c r="E68" s="635">
        <f>-'SP Att Alim'!G68</f>
        <v>0</v>
      </c>
      <c r="F68" s="618"/>
      <c r="G68" s="636"/>
      <c r="J68" s="621"/>
      <c r="K68" s="620"/>
    </row>
    <row r="69" spans="1:11" s="637" customFormat="1" ht="24.95" customHeight="1">
      <c r="A69" s="638"/>
      <c r="B69" s="628" t="s">
        <v>2921</v>
      </c>
      <c r="C69" s="629" t="s">
        <v>2922</v>
      </c>
      <c r="D69" s="630">
        <f>+D70-D71</f>
        <v>80062.079999999987</v>
      </c>
      <c r="E69" s="630">
        <f>+E70-E71</f>
        <v>102937.08000000002</v>
      </c>
      <c r="F69" s="618"/>
      <c r="G69" s="636"/>
      <c r="J69" s="621"/>
      <c r="K69" s="620"/>
    </row>
    <row r="70" spans="1:11" s="637" customFormat="1" ht="24.95" customHeight="1">
      <c r="A70" s="632"/>
      <c r="B70" s="633" t="s">
        <v>2923</v>
      </c>
      <c r="C70" s="634" t="s">
        <v>2924</v>
      </c>
      <c r="D70" s="635">
        <f>+'SP Att Alim'!F71</f>
        <v>235098.55</v>
      </c>
      <c r="E70" s="635">
        <f>+'SP Att Alim'!G71</f>
        <v>246273.95</v>
      </c>
      <c r="F70" s="618"/>
      <c r="G70" s="636"/>
      <c r="J70" s="621"/>
      <c r="K70" s="620"/>
    </row>
    <row r="71" spans="1:11" s="637" customFormat="1" ht="24.95" customHeight="1">
      <c r="A71" s="632"/>
      <c r="B71" s="633" t="s">
        <v>2925</v>
      </c>
      <c r="C71" s="634" t="s">
        <v>2926</v>
      </c>
      <c r="D71" s="635">
        <f>-'SP Att Alim'!F73</f>
        <v>155036.47</v>
      </c>
      <c r="E71" s="635">
        <f>-'SP Att Alim'!G73</f>
        <v>143336.87</v>
      </c>
      <c r="F71" s="618"/>
      <c r="G71" s="636"/>
      <c r="J71" s="621"/>
      <c r="K71" s="620"/>
    </row>
    <row r="72" spans="1:11" s="637" customFormat="1" ht="24.95" customHeight="1">
      <c r="A72" s="638"/>
      <c r="B72" s="628" t="s">
        <v>2927</v>
      </c>
      <c r="C72" s="629" t="s">
        <v>2928</v>
      </c>
      <c r="D72" s="630">
        <f>+D73-D74</f>
        <v>20788.640000000014</v>
      </c>
      <c r="E72" s="630">
        <f>+E73-E74</f>
        <v>44457.350000000006</v>
      </c>
      <c r="F72" s="618"/>
      <c r="G72" s="636"/>
      <c r="J72" s="621"/>
      <c r="K72" s="620"/>
    </row>
    <row r="73" spans="1:11" s="637" customFormat="1" ht="24.95" customHeight="1">
      <c r="A73" s="632"/>
      <c r="B73" s="633" t="s">
        <v>2929</v>
      </c>
      <c r="C73" s="634" t="s">
        <v>2930</v>
      </c>
      <c r="D73" s="635">
        <f>+'SP Att Alim'!F76</f>
        <v>198389.26</v>
      </c>
      <c r="E73" s="635">
        <f>+'SP Att Alim'!G76</f>
        <v>198389.26</v>
      </c>
      <c r="F73" s="618"/>
      <c r="G73" s="636"/>
      <c r="J73" s="621"/>
      <c r="K73" s="620"/>
    </row>
    <row r="74" spans="1:11" s="637" customFormat="1" ht="24.95" customHeight="1">
      <c r="A74" s="632"/>
      <c r="B74" s="633" t="s">
        <v>2931</v>
      </c>
      <c r="C74" s="634" t="s">
        <v>2932</v>
      </c>
      <c r="D74" s="635">
        <f>-'SP Att Alim'!F78</f>
        <v>177600.62</v>
      </c>
      <c r="E74" s="635">
        <f>-'SP Att Alim'!G78</f>
        <v>153931.91</v>
      </c>
      <c r="F74" s="618"/>
      <c r="G74" s="636"/>
      <c r="J74" s="621"/>
      <c r="K74" s="620"/>
    </row>
    <row r="75" spans="1:11" s="637" customFormat="1" ht="24.95" customHeight="1">
      <c r="A75" s="638"/>
      <c r="B75" s="628" t="s">
        <v>2933</v>
      </c>
      <c r="C75" s="629" t="s">
        <v>2934</v>
      </c>
      <c r="D75" s="630">
        <f>+D76-D77</f>
        <v>83576.729999999981</v>
      </c>
      <c r="E75" s="630">
        <f>+E76-E77</f>
        <v>102947.35999999999</v>
      </c>
      <c r="F75" s="618"/>
      <c r="G75" s="636"/>
      <c r="J75" s="621"/>
      <c r="K75" s="620"/>
    </row>
    <row r="76" spans="1:11" s="637" customFormat="1" ht="24.95" customHeight="1">
      <c r="A76" s="632"/>
      <c r="B76" s="633" t="s">
        <v>2935</v>
      </c>
      <c r="C76" s="634" t="s">
        <v>2936</v>
      </c>
      <c r="D76" s="635">
        <f>+'SP Att Alim'!F81</f>
        <v>437131.16</v>
      </c>
      <c r="E76" s="635">
        <f>+'SP Att Alim'!G81</f>
        <v>427161.32</v>
      </c>
      <c r="F76" s="618"/>
      <c r="G76" s="636"/>
      <c r="J76" s="621"/>
      <c r="K76" s="620"/>
    </row>
    <row r="77" spans="1:11" s="637" customFormat="1" ht="24.95" customHeight="1">
      <c r="A77" s="632"/>
      <c r="B77" s="633" t="s">
        <v>2937</v>
      </c>
      <c r="C77" s="634" t="s">
        <v>2938</v>
      </c>
      <c r="D77" s="635">
        <f>-'SP Att Alim'!F83</f>
        <v>353554.43</v>
      </c>
      <c r="E77" s="635">
        <f>-'SP Att Alim'!G83</f>
        <v>324213.96000000002</v>
      </c>
      <c r="F77" s="618"/>
      <c r="G77" s="636"/>
      <c r="J77" s="621"/>
      <c r="K77" s="620"/>
    </row>
    <row r="78" spans="1:11" s="637" customFormat="1" ht="24.95" customHeight="1">
      <c r="A78" s="638"/>
      <c r="B78" s="628" t="s">
        <v>2939</v>
      </c>
      <c r="C78" s="629" t="s">
        <v>2940</v>
      </c>
      <c r="D78" s="630">
        <f>+D79-D80</f>
        <v>9.9999999947613105E-3</v>
      </c>
      <c r="E78" s="630">
        <f>+E79-E80</f>
        <v>1006.8300000000017</v>
      </c>
      <c r="F78" s="618"/>
      <c r="G78" s="636"/>
      <c r="J78" s="621"/>
      <c r="K78" s="620"/>
    </row>
    <row r="79" spans="1:11" s="637" customFormat="1" ht="24.95" customHeight="1">
      <c r="A79" s="632"/>
      <c r="B79" s="633" t="s">
        <v>2941</v>
      </c>
      <c r="C79" s="634" t="s">
        <v>2942</v>
      </c>
      <c r="D79" s="635">
        <f>+'SP Att Alim'!F86</f>
        <v>96404.45</v>
      </c>
      <c r="E79" s="635">
        <f>+'SP Att Alim'!G86</f>
        <v>96404.45</v>
      </c>
      <c r="F79" s="618"/>
      <c r="G79" s="636"/>
      <c r="J79" s="621"/>
      <c r="K79" s="620"/>
    </row>
    <row r="80" spans="1:11" s="637" customFormat="1" ht="24.95" customHeight="1">
      <c r="A80" s="632"/>
      <c r="B80" s="633" t="s">
        <v>2943</v>
      </c>
      <c r="C80" s="634" t="s">
        <v>2944</v>
      </c>
      <c r="D80" s="635">
        <f>-'SP Att Alim'!F88</f>
        <v>96404.44</v>
      </c>
      <c r="E80" s="635">
        <f>-'SP Att Alim'!G88</f>
        <v>95397.62</v>
      </c>
      <c r="F80" s="618"/>
      <c r="G80" s="636"/>
      <c r="J80" s="621"/>
      <c r="K80" s="620"/>
    </row>
    <row r="81" spans="1:11" s="637" customFormat="1" ht="24.95" customHeight="1">
      <c r="A81" s="632"/>
      <c r="B81" s="639" t="s">
        <v>2945</v>
      </c>
      <c r="C81" s="640" t="s">
        <v>2946</v>
      </c>
      <c r="D81" s="635">
        <f>+'SP Att Alim'!F90</f>
        <v>0</v>
      </c>
      <c r="E81" s="635">
        <f>+'SP Att Alim'!G90</f>
        <v>0</v>
      </c>
      <c r="F81" s="618"/>
      <c r="G81" s="636"/>
      <c r="J81" s="621"/>
      <c r="K81" s="620"/>
    </row>
    <row r="82" spans="1:11" s="637" customFormat="1" ht="24.95" customHeight="1">
      <c r="A82" s="638"/>
      <c r="B82" s="628" t="s">
        <v>2947</v>
      </c>
      <c r="C82" s="629" t="s">
        <v>2948</v>
      </c>
      <c r="D82" s="630">
        <f>+D83-D84</f>
        <v>256580.09999999998</v>
      </c>
      <c r="E82" s="630">
        <f>+E83-E84</f>
        <v>164282.83999999997</v>
      </c>
      <c r="F82" s="618"/>
      <c r="G82" s="636"/>
      <c r="J82" s="621"/>
      <c r="K82" s="620"/>
    </row>
    <row r="83" spans="1:11" s="637" customFormat="1" ht="24.95" customHeight="1">
      <c r="A83" s="632"/>
      <c r="B83" s="633" t="s">
        <v>2949</v>
      </c>
      <c r="C83" s="634" t="s">
        <v>2950</v>
      </c>
      <c r="D83" s="635">
        <f>+'SP Att Alim'!F93</f>
        <v>872700.89</v>
      </c>
      <c r="E83" s="635">
        <f>+'SP Att Alim'!G93</f>
        <v>835019.21</v>
      </c>
      <c r="F83" s="618"/>
      <c r="G83" s="636"/>
      <c r="J83" s="621"/>
      <c r="K83" s="620"/>
    </row>
    <row r="84" spans="1:11" s="637" customFormat="1" ht="24.95" customHeight="1">
      <c r="A84" s="632"/>
      <c r="B84" s="633" t="s">
        <v>2951</v>
      </c>
      <c r="C84" s="634" t="s">
        <v>2952</v>
      </c>
      <c r="D84" s="635">
        <f>-'SP Att Alim'!F95</f>
        <v>616120.79</v>
      </c>
      <c r="E84" s="635">
        <f>-'SP Att Alim'!G95</f>
        <v>670736.37</v>
      </c>
      <c r="F84" s="618"/>
      <c r="G84" s="636"/>
      <c r="J84" s="621"/>
      <c r="K84" s="620"/>
    </row>
    <row r="85" spans="1:11" s="637" customFormat="1" ht="24.95" customHeight="1">
      <c r="A85" s="632"/>
      <c r="B85" s="639" t="s">
        <v>2953</v>
      </c>
      <c r="C85" s="640" t="s">
        <v>2954</v>
      </c>
      <c r="D85" s="635">
        <f>'SP Att Alim'!F97</f>
        <v>0</v>
      </c>
      <c r="E85" s="635">
        <f>'SP Att Alim'!G97</f>
        <v>0</v>
      </c>
      <c r="F85" s="618"/>
      <c r="G85" s="636"/>
      <c r="J85" s="621"/>
      <c r="K85" s="620"/>
    </row>
    <row r="86" spans="1:11" s="637" customFormat="1" ht="24.95" customHeight="1">
      <c r="A86" s="638"/>
      <c r="B86" s="628" t="s">
        <v>2955</v>
      </c>
      <c r="C86" s="629" t="s">
        <v>2956</v>
      </c>
      <c r="D86" s="630">
        <f>SUM(D87:D94)</f>
        <v>0</v>
      </c>
      <c r="E86" s="630">
        <f>SUM(E87:E94)</f>
        <v>0</v>
      </c>
      <c r="F86" s="618"/>
      <c r="G86" s="636"/>
      <c r="J86" s="621"/>
      <c r="K86" s="620"/>
    </row>
    <row r="87" spans="1:11" s="637" customFormat="1" ht="24.95" customHeight="1">
      <c r="A87" s="632"/>
      <c r="B87" s="633" t="s">
        <v>2957</v>
      </c>
      <c r="C87" s="634" t="s">
        <v>2958</v>
      </c>
      <c r="D87" s="635">
        <f>-'SP Att Alim'!F100-'SP Att Alim'!F101</f>
        <v>0</v>
      </c>
      <c r="E87" s="635">
        <f>-'SP Att Alim'!G100-'SP Att Alim'!G101</f>
        <v>0</v>
      </c>
      <c r="F87" s="618"/>
      <c r="G87" s="636"/>
      <c r="J87" s="621"/>
      <c r="K87" s="620"/>
    </row>
    <row r="88" spans="1:11" s="637" customFormat="1" ht="24.95" customHeight="1">
      <c r="A88" s="632"/>
      <c r="B88" s="633" t="s">
        <v>2959</v>
      </c>
      <c r="C88" s="634" t="s">
        <v>2960</v>
      </c>
      <c r="D88" s="635">
        <f>-'SP Att Alim'!F103-'SP Att Alim'!F104</f>
        <v>0</v>
      </c>
      <c r="E88" s="635">
        <f>-'SP Att Alim'!G103-'SP Att Alim'!G104</f>
        <v>0</v>
      </c>
      <c r="F88" s="618"/>
      <c r="G88" s="636"/>
      <c r="J88" s="621"/>
      <c r="K88" s="620"/>
    </row>
    <row r="89" spans="1:11" s="637" customFormat="1" ht="24.95" customHeight="1">
      <c r="A89" s="632"/>
      <c r="B89" s="633" t="s">
        <v>2961</v>
      </c>
      <c r="C89" s="634" t="s">
        <v>2962</v>
      </c>
      <c r="D89" s="635">
        <f>-'SP Att Alim'!F106</f>
        <v>0</v>
      </c>
      <c r="E89" s="635">
        <f>-'SP Att Alim'!G106</f>
        <v>0</v>
      </c>
      <c r="F89" s="618"/>
      <c r="G89" s="636"/>
      <c r="J89" s="621"/>
      <c r="K89" s="620"/>
    </row>
    <row r="90" spans="1:11" s="637" customFormat="1" ht="24.95" customHeight="1">
      <c r="A90" s="632"/>
      <c r="B90" s="633" t="s">
        <v>2963</v>
      </c>
      <c r="C90" s="634" t="s">
        <v>2964</v>
      </c>
      <c r="D90" s="635">
        <f>-'SP Att Alim'!F108</f>
        <v>0</v>
      </c>
      <c r="E90" s="635">
        <f>-'SP Att Alim'!G108</f>
        <v>0</v>
      </c>
      <c r="F90" s="618"/>
      <c r="G90" s="636"/>
      <c r="J90" s="621"/>
      <c r="K90" s="620"/>
    </row>
    <row r="91" spans="1:11" s="637" customFormat="1" ht="24.95" customHeight="1">
      <c r="A91" s="632"/>
      <c r="B91" s="633" t="s">
        <v>2965</v>
      </c>
      <c r="C91" s="634" t="s">
        <v>2966</v>
      </c>
      <c r="D91" s="635">
        <f>-'SP Att Alim'!F110</f>
        <v>0</v>
      </c>
      <c r="E91" s="635">
        <f>-'SP Att Alim'!G110</f>
        <v>0</v>
      </c>
      <c r="F91" s="618"/>
      <c r="G91" s="636"/>
      <c r="J91" s="621"/>
      <c r="K91" s="620"/>
    </row>
    <row r="92" spans="1:11" s="637" customFormat="1" ht="24.95" customHeight="1">
      <c r="A92" s="632"/>
      <c r="B92" s="633" t="s">
        <v>2967</v>
      </c>
      <c r="C92" s="634" t="s">
        <v>2968</v>
      </c>
      <c r="D92" s="635">
        <f>-'SP Att Alim'!F112</f>
        <v>0</v>
      </c>
      <c r="E92" s="635">
        <f>-'SP Att Alim'!G112</f>
        <v>0</v>
      </c>
      <c r="F92" s="618"/>
      <c r="G92" s="636"/>
      <c r="J92" s="621"/>
      <c r="K92" s="620"/>
    </row>
    <row r="93" spans="1:11" s="637" customFormat="1" ht="24.95" customHeight="1">
      <c r="A93" s="632"/>
      <c r="B93" s="633" t="s">
        <v>2969</v>
      </c>
      <c r="C93" s="634" t="s">
        <v>2970</v>
      </c>
      <c r="D93" s="635">
        <f>-'SP Att Alim'!F114</f>
        <v>0</v>
      </c>
      <c r="E93" s="635">
        <f>-'SP Att Alim'!G114</f>
        <v>0</v>
      </c>
      <c r="F93" s="618"/>
      <c r="G93" s="636"/>
      <c r="J93" s="621"/>
      <c r="K93" s="620"/>
    </row>
    <row r="94" spans="1:11" s="637" customFormat="1" ht="24.95" customHeight="1" thickBot="1">
      <c r="A94" s="642"/>
      <c r="B94" s="643" t="s">
        <v>2971</v>
      </c>
      <c r="C94" s="644" t="s">
        <v>2972</v>
      </c>
      <c r="D94" s="635">
        <f>-'SP Att Alim'!F116</f>
        <v>0</v>
      </c>
      <c r="E94" s="635">
        <f>-'SP Att Alim'!G116</f>
        <v>0</v>
      </c>
      <c r="F94" s="618"/>
      <c r="G94" s="636"/>
      <c r="J94" s="621"/>
      <c r="K94" s="620"/>
    </row>
    <row r="95" spans="1:11" s="637" customFormat="1" ht="24.95" customHeight="1">
      <c r="A95" s="645"/>
      <c r="B95" s="646" t="s">
        <v>2973</v>
      </c>
      <c r="C95" s="647" t="s">
        <v>2974</v>
      </c>
      <c r="D95" s="648">
        <f>+D96+D101</f>
        <v>0</v>
      </c>
      <c r="E95" s="648">
        <f>+E96+E101</f>
        <v>0</v>
      </c>
      <c r="F95" s="618"/>
      <c r="G95" s="636"/>
      <c r="J95" s="621"/>
      <c r="K95" s="620"/>
    </row>
    <row r="96" spans="1:11" s="637" customFormat="1" ht="24.95" customHeight="1">
      <c r="A96" s="638"/>
      <c r="B96" s="628" t="s">
        <v>2975</v>
      </c>
      <c r="C96" s="629" t="s">
        <v>2976</v>
      </c>
      <c r="D96" s="630">
        <f>SUM(D97:D100)</f>
        <v>0</v>
      </c>
      <c r="E96" s="630">
        <f>SUM(E97:E100)</f>
        <v>0</v>
      </c>
      <c r="F96" s="618"/>
      <c r="G96" s="636"/>
      <c r="J96" s="621"/>
      <c r="K96" s="620"/>
    </row>
    <row r="97" spans="1:11" s="637" customFormat="1" ht="24.95" customHeight="1">
      <c r="A97" s="632"/>
      <c r="B97" s="633" t="s">
        <v>2977</v>
      </c>
      <c r="C97" s="634" t="s">
        <v>2978</v>
      </c>
      <c r="D97" s="635">
        <f>+'SP Att Alim'!F120+'SP Att Alim'!F121</f>
        <v>0</v>
      </c>
      <c r="E97" s="635">
        <f>+'SP Att Alim'!G120+'SP Att Alim'!G121</f>
        <v>0</v>
      </c>
      <c r="F97" s="618"/>
      <c r="G97" s="636"/>
      <c r="J97" s="621"/>
      <c r="K97" s="620"/>
    </row>
    <row r="98" spans="1:11" s="637" customFormat="1" ht="24.95" customHeight="1">
      <c r="A98" s="632"/>
      <c r="B98" s="633" t="s">
        <v>2979</v>
      </c>
      <c r="C98" s="634" t="s">
        <v>2980</v>
      </c>
      <c r="D98" s="635">
        <f>+'SP Att Alim'!F123+'SP Att Alim'!F124</f>
        <v>0</v>
      </c>
      <c r="E98" s="635">
        <f>+'SP Att Alim'!G123+'SP Att Alim'!G124</f>
        <v>0</v>
      </c>
      <c r="F98" s="618"/>
      <c r="G98" s="636"/>
      <c r="J98" s="621"/>
      <c r="K98" s="620"/>
    </row>
    <row r="99" spans="1:11" s="637" customFormat="1" ht="24.95" customHeight="1">
      <c r="A99" s="632"/>
      <c r="B99" s="633" t="s">
        <v>2981</v>
      </c>
      <c r="C99" s="634" t="s">
        <v>2982</v>
      </c>
      <c r="D99" s="635">
        <f>+'SP Att Alim'!F126+'SP Att Alim'!F127</f>
        <v>0</v>
      </c>
      <c r="E99" s="635">
        <f>+'SP Att Alim'!G126+'SP Att Alim'!G127</f>
        <v>0</v>
      </c>
      <c r="F99" s="618"/>
      <c r="G99" s="636"/>
      <c r="J99" s="621"/>
      <c r="K99" s="620"/>
    </row>
    <row r="100" spans="1:11" s="637" customFormat="1" ht="24.95" customHeight="1">
      <c r="A100" s="632"/>
      <c r="B100" s="633" t="s">
        <v>2983</v>
      </c>
      <c r="C100" s="634" t="s">
        <v>2984</v>
      </c>
      <c r="D100" s="635">
        <f>+'SP Att Alim'!F129+'SP Att Alim'!F130+'SP Att Alim'!F131+'SP Att Alim'!F132</f>
        <v>0</v>
      </c>
      <c r="E100" s="635">
        <f>+'SP Att Alim'!G129+'SP Att Alim'!G130+'SP Att Alim'!G131+'SP Att Alim'!G132</f>
        <v>0</v>
      </c>
      <c r="F100" s="618"/>
      <c r="G100" s="636"/>
      <c r="J100" s="621"/>
      <c r="K100" s="620"/>
    </row>
    <row r="101" spans="1:11" s="637" customFormat="1" ht="24.95" customHeight="1">
      <c r="A101" s="638"/>
      <c r="B101" s="628" t="s">
        <v>2985</v>
      </c>
      <c r="C101" s="629" t="s">
        <v>2986</v>
      </c>
      <c r="D101" s="630">
        <f>+D102+D103</f>
        <v>0</v>
      </c>
      <c r="E101" s="630">
        <f>+E102+E103</f>
        <v>0</v>
      </c>
      <c r="F101" s="618"/>
      <c r="G101" s="636"/>
      <c r="J101" s="621"/>
      <c r="K101" s="620"/>
    </row>
    <row r="102" spans="1:11" s="637" customFormat="1" ht="24.95" customHeight="1">
      <c r="A102" s="632"/>
      <c r="B102" s="633" t="s">
        <v>2987</v>
      </c>
      <c r="C102" s="634" t="s">
        <v>2988</v>
      </c>
      <c r="D102" s="635">
        <f>+'SP Att Alim'!F135</f>
        <v>0</v>
      </c>
      <c r="E102" s="635">
        <f>+'SP Att Alim'!G135</f>
        <v>0</v>
      </c>
      <c r="F102" s="618"/>
      <c r="G102" s="636"/>
      <c r="J102" s="621"/>
      <c r="K102" s="620"/>
    </row>
    <row r="103" spans="1:11" s="637" customFormat="1" ht="24.95" customHeight="1">
      <c r="A103" s="632"/>
      <c r="B103" s="633" t="s">
        <v>2989</v>
      </c>
      <c r="C103" s="634" t="s">
        <v>2990</v>
      </c>
      <c r="D103" s="635">
        <f>SUM(D104:D107)</f>
        <v>0</v>
      </c>
      <c r="E103" s="635">
        <f>SUM(E104:E107)</f>
        <v>0</v>
      </c>
      <c r="F103" s="757" t="s">
        <v>1835</v>
      </c>
      <c r="G103" s="636"/>
      <c r="J103" s="621"/>
      <c r="K103" s="620"/>
    </row>
    <row r="104" spans="1:11" s="637" customFormat="1" ht="24.95" customHeight="1">
      <c r="A104" s="632"/>
      <c r="B104" s="633" t="s">
        <v>2991</v>
      </c>
      <c r="C104" s="634" t="s">
        <v>2992</v>
      </c>
      <c r="D104" s="635">
        <f>+'SP Att Alim'!F138</f>
        <v>0</v>
      </c>
      <c r="E104" s="635">
        <f>+'SP Att Alim'!G138</f>
        <v>0</v>
      </c>
      <c r="F104" s="618"/>
      <c r="G104" s="636"/>
      <c r="J104" s="621"/>
      <c r="K104" s="620"/>
    </row>
    <row r="105" spans="1:11" s="637" customFormat="1" ht="24.95" customHeight="1">
      <c r="A105" s="632"/>
      <c r="B105" s="633" t="s">
        <v>2993</v>
      </c>
      <c r="C105" s="634" t="s">
        <v>2994</v>
      </c>
      <c r="D105" s="635">
        <f>+'SP Att Alim'!F140</f>
        <v>0</v>
      </c>
      <c r="E105" s="635">
        <f>+'SP Att Alim'!G140</f>
        <v>0</v>
      </c>
      <c r="F105" s="618"/>
      <c r="G105" s="636"/>
      <c r="J105" s="621"/>
      <c r="K105" s="620"/>
    </row>
    <row r="106" spans="1:11" s="637" customFormat="1" ht="24.95" customHeight="1">
      <c r="A106" s="632"/>
      <c r="B106" s="633" t="s">
        <v>2995</v>
      </c>
      <c r="C106" s="634" t="s">
        <v>2996</v>
      </c>
      <c r="D106" s="635">
        <f>+'SP Att Alim'!F142</f>
        <v>0</v>
      </c>
      <c r="E106" s="635">
        <f>+'SP Att Alim'!G142</f>
        <v>0</v>
      </c>
      <c r="F106" s="618"/>
      <c r="G106" s="636"/>
      <c r="J106" s="621"/>
      <c r="K106" s="620"/>
    </row>
    <row r="107" spans="1:11" s="637" customFormat="1" ht="24.95" customHeight="1" thickBot="1">
      <c r="A107" s="642"/>
      <c r="B107" s="643" t="s">
        <v>2997</v>
      </c>
      <c r="C107" s="644" t="s">
        <v>2998</v>
      </c>
      <c r="D107" s="635">
        <f>+'SP Att Alim'!F144</f>
        <v>0</v>
      </c>
      <c r="E107" s="635">
        <f>+'SP Att Alim'!G144</f>
        <v>0</v>
      </c>
      <c r="F107" s="618"/>
      <c r="G107" s="636"/>
      <c r="J107" s="621"/>
      <c r="K107" s="620"/>
    </row>
    <row r="108" spans="1:11" s="637" customFormat="1" ht="24.95" customHeight="1">
      <c r="A108" s="614"/>
      <c r="B108" s="615" t="s">
        <v>2999</v>
      </c>
      <c r="C108" s="616" t="s">
        <v>3000</v>
      </c>
      <c r="D108" s="649">
        <f>+D109+D128+D192+D195</f>
        <v>242614552.03999996</v>
      </c>
      <c r="E108" s="649">
        <f>+E109+E128+E192+E195</f>
        <v>247439146.5</v>
      </c>
      <c r="F108" s="618"/>
      <c r="G108" s="636"/>
      <c r="J108" s="621"/>
      <c r="K108" s="620"/>
    </row>
    <row r="109" spans="1:11" s="637" customFormat="1" ht="24.95" customHeight="1">
      <c r="A109" s="622"/>
      <c r="B109" s="623" t="s">
        <v>3001</v>
      </c>
      <c r="C109" s="624" t="s">
        <v>3002</v>
      </c>
      <c r="D109" s="625">
        <f>+D110+D120</f>
        <v>65979147.600000001</v>
      </c>
      <c r="E109" s="625">
        <f>+E110+E120</f>
        <v>65966511.089999996</v>
      </c>
      <c r="F109" s="618"/>
      <c r="G109" s="636"/>
      <c r="J109" s="621"/>
      <c r="K109" s="620"/>
    </row>
    <row r="110" spans="1:11" s="637" customFormat="1" ht="24.95" customHeight="1">
      <c r="A110" s="638"/>
      <c r="B110" s="628" t="s">
        <v>3003</v>
      </c>
      <c r="C110" s="629" t="s">
        <v>3004</v>
      </c>
      <c r="D110" s="630">
        <f>SUM(D111:D119)</f>
        <v>64781029.670000002</v>
      </c>
      <c r="E110" s="630">
        <f>SUM(E111:E119)</f>
        <v>64595308.219999999</v>
      </c>
      <c r="F110" s="618"/>
      <c r="G110" s="636"/>
      <c r="J110" s="621"/>
      <c r="K110" s="620"/>
    </row>
    <row r="111" spans="1:11" s="637" customFormat="1" ht="24.95" customHeight="1">
      <c r="A111" s="632"/>
      <c r="B111" s="633" t="s">
        <v>3005</v>
      </c>
      <c r="C111" s="634" t="s">
        <v>3006</v>
      </c>
      <c r="D111" s="635">
        <f>+'SP Att Alim'!F149+'SP Att Alim'!F150+'SP Att Alim'!F151</f>
        <v>49046614.75</v>
      </c>
      <c r="E111" s="635">
        <f>+'SP Att Alim'!G149+'SP Att Alim'!G150+'SP Att Alim'!G151</f>
        <v>48945930.100000001</v>
      </c>
      <c r="F111" s="618"/>
      <c r="G111" s="636"/>
      <c r="J111" s="621"/>
      <c r="K111" s="620"/>
    </row>
    <row r="112" spans="1:11" s="637" customFormat="1" ht="24.95" customHeight="1">
      <c r="A112" s="632"/>
      <c r="B112" s="633" t="s">
        <v>3007</v>
      </c>
      <c r="C112" s="634" t="s">
        <v>3008</v>
      </c>
      <c r="D112" s="635">
        <f>+'SP Att Alim'!F153</f>
        <v>0</v>
      </c>
      <c r="E112" s="635">
        <f>+'SP Att Alim'!G153</f>
        <v>0</v>
      </c>
      <c r="F112" s="618"/>
      <c r="G112" s="636"/>
      <c r="J112" s="621"/>
      <c r="K112" s="620"/>
    </row>
    <row r="113" spans="1:11" s="637" customFormat="1" ht="24.95" customHeight="1">
      <c r="A113" s="632"/>
      <c r="B113" s="633" t="s">
        <v>3009</v>
      </c>
      <c r="C113" s="634" t="s">
        <v>3010</v>
      </c>
      <c r="D113" s="635">
        <f>+'SP Att Alim'!F155+'SP Att Alim'!F156+'SP Att Alim'!F157</f>
        <v>12442696.460000001</v>
      </c>
      <c r="E113" s="635">
        <f>+'SP Att Alim'!G155+'SP Att Alim'!G156+'SP Att Alim'!G157</f>
        <v>13571303.1</v>
      </c>
      <c r="F113" s="618"/>
      <c r="G113" s="636"/>
      <c r="J113" s="621"/>
      <c r="K113" s="620"/>
    </row>
    <row r="114" spans="1:11" s="637" customFormat="1" ht="24.95" customHeight="1">
      <c r="A114" s="632"/>
      <c r="B114" s="633" t="s">
        <v>3011</v>
      </c>
      <c r="C114" s="634" t="s">
        <v>3012</v>
      </c>
      <c r="D114" s="635">
        <f>+'SP Att Alim'!F159</f>
        <v>482515.58</v>
      </c>
      <c r="E114" s="635">
        <f>+'SP Att Alim'!G159</f>
        <v>457565.91</v>
      </c>
      <c r="F114" s="618"/>
      <c r="G114" s="636"/>
      <c r="J114" s="621"/>
      <c r="K114" s="620"/>
    </row>
    <row r="115" spans="1:11" s="637" customFormat="1" ht="24.95" customHeight="1">
      <c r="A115" s="632"/>
      <c r="B115" s="633" t="s">
        <v>3013</v>
      </c>
      <c r="C115" s="634" t="s">
        <v>3014</v>
      </c>
      <c r="D115" s="635">
        <f>+'SP Att Alim'!F161</f>
        <v>2595352.33</v>
      </c>
      <c r="E115" s="635">
        <f>+'SP Att Alim'!G161</f>
        <v>1411280.69</v>
      </c>
      <c r="F115" s="618"/>
      <c r="G115" s="636"/>
      <c r="J115" s="621"/>
      <c r="K115" s="620"/>
    </row>
    <row r="116" spans="1:11" s="637" customFormat="1" ht="24.95" customHeight="1">
      <c r="A116" s="632"/>
      <c r="B116" s="633" t="s">
        <v>3015</v>
      </c>
      <c r="C116" s="634" t="s">
        <v>3016</v>
      </c>
      <c r="D116" s="635">
        <f>+'SP Att Alim'!F163</f>
        <v>5133.5600000000004</v>
      </c>
      <c r="E116" s="635">
        <f>+'SP Att Alim'!G163</f>
        <v>10347.68</v>
      </c>
      <c r="F116" s="618"/>
      <c r="G116" s="636"/>
      <c r="J116" s="621"/>
      <c r="K116" s="620"/>
    </row>
    <row r="117" spans="1:11" s="637" customFormat="1" ht="24.95" customHeight="1">
      <c r="A117" s="632"/>
      <c r="B117" s="633" t="s">
        <v>3017</v>
      </c>
      <c r="C117" s="634" t="s">
        <v>3018</v>
      </c>
      <c r="D117" s="635">
        <f>+'SP Att Alim'!F165</f>
        <v>31895.25</v>
      </c>
      <c r="E117" s="635">
        <f>+'SP Att Alim'!G165</f>
        <v>35986.22</v>
      </c>
      <c r="F117" s="618"/>
      <c r="G117" s="636"/>
      <c r="J117" s="621"/>
      <c r="K117" s="620"/>
    </row>
    <row r="118" spans="1:11" s="637" customFormat="1" ht="24.95" customHeight="1">
      <c r="A118" s="632"/>
      <c r="B118" s="633" t="s">
        <v>3019</v>
      </c>
      <c r="C118" s="634" t="s">
        <v>3020</v>
      </c>
      <c r="D118" s="635">
        <f>+'SP Att Alim'!F167</f>
        <v>176821.74</v>
      </c>
      <c r="E118" s="635">
        <f>+'SP Att Alim'!G167</f>
        <v>162894.51999999999</v>
      </c>
      <c r="F118" s="618"/>
      <c r="G118" s="636"/>
      <c r="J118" s="621"/>
      <c r="K118" s="620"/>
    </row>
    <row r="119" spans="1:11" s="637" customFormat="1" ht="24.95" customHeight="1">
      <c r="A119" s="632"/>
      <c r="B119" s="633" t="s">
        <v>3021</v>
      </c>
      <c r="C119" s="634" t="s">
        <v>3022</v>
      </c>
      <c r="D119" s="635">
        <f>+'SP Att Alim'!F169</f>
        <v>0</v>
      </c>
      <c r="E119" s="635">
        <f>+'SP Att Alim'!G169</f>
        <v>0</v>
      </c>
      <c r="F119" s="618"/>
      <c r="G119" s="636"/>
      <c r="J119" s="621"/>
      <c r="K119" s="620"/>
    </row>
    <row r="120" spans="1:11" s="637" customFormat="1" ht="24.95" customHeight="1">
      <c r="A120" s="638"/>
      <c r="B120" s="628" t="s">
        <v>3023</v>
      </c>
      <c r="C120" s="629" t="s">
        <v>3024</v>
      </c>
      <c r="D120" s="630">
        <f>SUM(D121:D127)</f>
        <v>1198117.9300000002</v>
      </c>
      <c r="E120" s="630">
        <f>SUM(E121:E127)</f>
        <v>1371202.87</v>
      </c>
      <c r="F120" s="618"/>
      <c r="G120" s="636"/>
      <c r="J120" s="621"/>
      <c r="K120" s="620"/>
    </row>
    <row r="121" spans="1:11" s="637" customFormat="1" ht="24.95" customHeight="1">
      <c r="A121" s="632"/>
      <c r="B121" s="633" t="s">
        <v>3025</v>
      </c>
      <c r="C121" s="634" t="s">
        <v>3026</v>
      </c>
      <c r="D121" s="635">
        <f>+'SP Att Alim'!F172</f>
        <v>6890.17</v>
      </c>
      <c r="E121" s="635">
        <f>+'SP Att Alim'!G172</f>
        <v>8699.36</v>
      </c>
      <c r="F121" s="618"/>
      <c r="G121" s="636"/>
      <c r="J121" s="621"/>
      <c r="K121" s="620"/>
    </row>
    <row r="122" spans="1:11" s="637" customFormat="1" ht="24.95" customHeight="1">
      <c r="A122" s="632"/>
      <c r="B122" s="633" t="s">
        <v>3027</v>
      </c>
      <c r="C122" s="634" t="s">
        <v>3028</v>
      </c>
      <c r="D122" s="635">
        <f>+'SP Att Alim'!F174</f>
        <v>991791.42</v>
      </c>
      <c r="E122" s="635">
        <f>+'SP Att Alim'!G174</f>
        <v>1153868.5</v>
      </c>
      <c r="F122" s="618"/>
      <c r="G122" s="636"/>
      <c r="J122" s="621"/>
      <c r="K122" s="620"/>
    </row>
    <row r="123" spans="1:11" s="637" customFormat="1" ht="24.95" customHeight="1">
      <c r="A123" s="632"/>
      <c r="B123" s="633" t="s">
        <v>3029</v>
      </c>
      <c r="C123" s="634" t="s">
        <v>3030</v>
      </c>
      <c r="D123" s="635">
        <f>+'SP Att Alim'!F176</f>
        <v>0</v>
      </c>
      <c r="E123" s="635">
        <f>+'SP Att Alim'!G176</f>
        <v>0</v>
      </c>
      <c r="F123" s="618"/>
      <c r="G123" s="636"/>
      <c r="J123" s="621"/>
      <c r="K123" s="620"/>
    </row>
    <row r="124" spans="1:11" s="637" customFormat="1" ht="24.95" customHeight="1">
      <c r="A124" s="632"/>
      <c r="B124" s="633" t="s">
        <v>3031</v>
      </c>
      <c r="C124" s="634" t="s">
        <v>3032</v>
      </c>
      <c r="D124" s="635">
        <f>+'SP Att Alim'!F178</f>
        <v>190906.28</v>
      </c>
      <c r="E124" s="635">
        <f>+'SP Att Alim'!G178</f>
        <v>185827.26</v>
      </c>
      <c r="F124" s="618"/>
      <c r="G124" s="636"/>
      <c r="J124" s="621"/>
      <c r="K124" s="620"/>
    </row>
    <row r="125" spans="1:11" s="637" customFormat="1" ht="24.95" customHeight="1">
      <c r="A125" s="632"/>
      <c r="B125" s="633" t="s">
        <v>3033</v>
      </c>
      <c r="C125" s="634" t="s">
        <v>3034</v>
      </c>
      <c r="D125" s="635">
        <f>+'SP Att Alim'!F180</f>
        <v>1413.72</v>
      </c>
      <c r="E125" s="635">
        <f>+'SP Att Alim'!G180</f>
        <v>16591.13</v>
      </c>
      <c r="F125" s="618"/>
      <c r="G125" s="636"/>
      <c r="J125" s="621"/>
      <c r="K125" s="620"/>
    </row>
    <row r="126" spans="1:11" s="637" customFormat="1" ht="24.95" customHeight="1">
      <c r="A126" s="632"/>
      <c r="B126" s="633" t="s">
        <v>3035</v>
      </c>
      <c r="C126" s="634" t="s">
        <v>3036</v>
      </c>
      <c r="D126" s="635">
        <f>+'SP Att Alim'!F182</f>
        <v>7116.34</v>
      </c>
      <c r="E126" s="635">
        <f>+'SP Att Alim'!G182</f>
        <v>6216.62</v>
      </c>
      <c r="F126" s="618"/>
      <c r="G126" s="636"/>
      <c r="J126" s="621"/>
      <c r="K126" s="620"/>
    </row>
    <row r="127" spans="1:11" s="637" customFormat="1" ht="24.95" customHeight="1" thickBot="1">
      <c r="A127" s="642"/>
      <c r="B127" s="643" t="s">
        <v>3037</v>
      </c>
      <c r="C127" s="644" t="s">
        <v>3038</v>
      </c>
      <c r="D127" s="635">
        <f>+'SP Att Alim'!F184</f>
        <v>0</v>
      </c>
      <c r="E127" s="635">
        <f>+'SP Att Alim'!G184</f>
        <v>0</v>
      </c>
      <c r="F127" s="618"/>
      <c r="G127" s="636"/>
      <c r="J127" s="621"/>
      <c r="K127" s="620"/>
    </row>
    <row r="128" spans="1:11" s="637" customFormat="1" ht="24.95" customHeight="1">
      <c r="A128" s="645"/>
      <c r="B128" s="646" t="s">
        <v>3039</v>
      </c>
      <c r="C128" s="647" t="s">
        <v>3040</v>
      </c>
      <c r="D128" s="648">
        <f>+D129+D145+D166+D167+D176++D180+D181</f>
        <v>137636074.88999999</v>
      </c>
      <c r="E128" s="648">
        <f>+E129+E145+E166+E167+E176++E180+E181</f>
        <v>148663909.16</v>
      </c>
      <c r="F128" s="618"/>
      <c r="G128" s="636"/>
      <c r="J128" s="621"/>
      <c r="K128" s="620"/>
    </row>
    <row r="129" spans="1:11" s="637" customFormat="1" ht="24.95" customHeight="1">
      <c r="A129" s="638"/>
      <c r="B129" s="628" t="s">
        <v>3041</v>
      </c>
      <c r="C129" s="629" t="s">
        <v>3042</v>
      </c>
      <c r="D129" s="630">
        <f>SUM(D130:D139,D144)</f>
        <v>0</v>
      </c>
      <c r="E129" s="630">
        <f>SUM(E130:E139,E144)</f>
        <v>0</v>
      </c>
      <c r="F129" s="618"/>
      <c r="G129" s="636"/>
      <c r="J129" s="621"/>
      <c r="K129" s="620"/>
    </row>
    <row r="130" spans="1:11" s="217" customFormat="1" ht="24.95" customHeight="1">
      <c r="A130" s="650" t="s">
        <v>1297</v>
      </c>
      <c r="B130" s="651" t="s">
        <v>3043</v>
      </c>
      <c r="C130" s="652" t="s">
        <v>3044</v>
      </c>
      <c r="D130" s="635">
        <f>+'SP Att Alim'!F188+'SP Att Alim'!F189</f>
        <v>0</v>
      </c>
      <c r="E130" s="635">
        <f>+'SP Att Alim'!G188+'SP Att Alim'!G189</f>
        <v>0</v>
      </c>
      <c r="F130" s="626"/>
      <c r="G130" s="653"/>
      <c r="J130" s="621"/>
      <c r="K130" s="620"/>
    </row>
    <row r="131" spans="1:11" s="217" customFormat="1" ht="24.95" customHeight="1">
      <c r="A131" s="650" t="s">
        <v>1297</v>
      </c>
      <c r="B131" s="651" t="s">
        <v>3045</v>
      </c>
      <c r="C131" s="652" t="s">
        <v>3046</v>
      </c>
      <c r="D131" s="635">
        <f>+'SP Att Alim'!F191+'SP Att Alim'!F192</f>
        <v>0</v>
      </c>
      <c r="E131" s="635">
        <f>+'SP Att Alim'!G191+'SP Att Alim'!G192</f>
        <v>0</v>
      </c>
      <c r="F131" s="654"/>
      <c r="G131" s="655"/>
      <c r="J131" s="621"/>
      <c r="K131" s="620"/>
    </row>
    <row r="132" spans="1:11" s="217" customFormat="1" ht="24.95" customHeight="1">
      <c r="A132" s="650" t="s">
        <v>1293</v>
      </c>
      <c r="B132" s="651" t="s">
        <v>3047</v>
      </c>
      <c r="C132" s="652" t="s">
        <v>3048</v>
      </c>
      <c r="D132" s="635">
        <f>+'SP Att Alim'!F194+'SP Att Alim'!F195</f>
        <v>0</v>
      </c>
      <c r="E132" s="635">
        <f>+'SP Att Alim'!G194+'SP Att Alim'!G195</f>
        <v>0</v>
      </c>
      <c r="F132" s="654"/>
      <c r="G132" s="655"/>
      <c r="J132" s="621"/>
      <c r="K132" s="620"/>
    </row>
    <row r="133" spans="1:11" s="217" customFormat="1" ht="24.95" customHeight="1">
      <c r="A133" s="656"/>
      <c r="B133" s="651" t="s">
        <v>3049</v>
      </c>
      <c r="C133" s="652" t="s">
        <v>3050</v>
      </c>
      <c r="D133" s="635">
        <f>+'SP Att Alim'!F197+'SP Att Alim'!F198</f>
        <v>0</v>
      </c>
      <c r="E133" s="635">
        <f>+'SP Att Alim'!G197+'SP Att Alim'!G198</f>
        <v>0</v>
      </c>
      <c r="F133" s="654"/>
      <c r="G133" s="655"/>
      <c r="J133" s="621"/>
      <c r="K133" s="620"/>
    </row>
    <row r="134" spans="1:11" s="217" customFormat="1" ht="30" customHeight="1">
      <c r="A134" s="650" t="s">
        <v>1297</v>
      </c>
      <c r="B134" s="651" t="s">
        <v>3051</v>
      </c>
      <c r="C134" s="652" t="s">
        <v>3052</v>
      </c>
      <c r="D134" s="635">
        <f>+'SP Att Alim'!F200+'SP Att Alim'!F201</f>
        <v>0</v>
      </c>
      <c r="E134" s="635">
        <f>+'SP Att Alim'!G200+'SP Att Alim'!G201</f>
        <v>0</v>
      </c>
      <c r="F134" s="654"/>
      <c r="G134" s="655"/>
      <c r="J134" s="621"/>
      <c r="K134" s="620"/>
    </row>
    <row r="135" spans="1:11" s="217" customFormat="1" ht="24.95" customHeight="1">
      <c r="A135" s="650" t="s">
        <v>1297</v>
      </c>
      <c r="B135" s="651" t="s">
        <v>3053</v>
      </c>
      <c r="C135" s="652" t="s">
        <v>3054</v>
      </c>
      <c r="D135" s="635">
        <f>+'SP Att Alim'!F203+'SP Att Alim'!F204</f>
        <v>0</v>
      </c>
      <c r="E135" s="635">
        <f>+'SP Att Alim'!G203+'SP Att Alim'!G204</f>
        <v>0</v>
      </c>
      <c r="F135" s="654"/>
      <c r="G135" s="655"/>
      <c r="J135" s="621"/>
      <c r="K135" s="620"/>
    </row>
    <row r="136" spans="1:11" s="217" customFormat="1" ht="24.95" customHeight="1">
      <c r="A136" s="650" t="s">
        <v>1297</v>
      </c>
      <c r="B136" s="651" t="s">
        <v>3055</v>
      </c>
      <c r="C136" s="652" t="s">
        <v>3056</v>
      </c>
      <c r="D136" s="635">
        <f>+'SP Att Alim'!F206+'SP Att Alim'!F207+'SP Att Alim'!F208+'SP Att Alim'!F209</f>
        <v>0</v>
      </c>
      <c r="E136" s="635">
        <f>+'SP Att Alim'!G206+'SP Att Alim'!G207+'SP Att Alim'!G208+'SP Att Alim'!G209</f>
        <v>0</v>
      </c>
      <c r="F136" s="654"/>
      <c r="G136" s="655"/>
      <c r="J136" s="621"/>
      <c r="K136" s="620"/>
    </row>
    <row r="137" spans="1:11" s="654" customFormat="1" ht="24.95" customHeight="1">
      <c r="A137" s="650" t="s">
        <v>1297</v>
      </c>
      <c r="B137" s="651" t="s">
        <v>3057</v>
      </c>
      <c r="C137" s="652" t="s">
        <v>3058</v>
      </c>
      <c r="D137" s="635">
        <f>+'SP Att Alim'!F211+'SP Att Alim'!F212</f>
        <v>0</v>
      </c>
      <c r="E137" s="635">
        <f>+'SP Att Alim'!G211+'SP Att Alim'!G212</f>
        <v>0</v>
      </c>
      <c r="G137" s="653"/>
      <c r="J137" s="621"/>
      <c r="K137" s="620"/>
    </row>
    <row r="138" spans="1:11" s="217" customFormat="1" ht="24.95" customHeight="1">
      <c r="A138" s="650" t="s">
        <v>1297</v>
      </c>
      <c r="B138" s="651" t="s">
        <v>3059</v>
      </c>
      <c r="C138" s="652" t="s">
        <v>3060</v>
      </c>
      <c r="D138" s="635">
        <f>+'SP Att Alim'!F214+'SP Att Alim'!F215</f>
        <v>0</v>
      </c>
      <c r="E138" s="635">
        <f>+'SP Att Alim'!G214+'SP Att Alim'!G215</f>
        <v>0</v>
      </c>
      <c r="F138" s="626"/>
      <c r="G138" s="653"/>
      <c r="J138" s="621"/>
      <c r="K138" s="620"/>
    </row>
    <row r="139" spans="1:11" s="217" customFormat="1" ht="24.95" customHeight="1">
      <c r="A139" s="657"/>
      <c r="B139" s="658" t="s">
        <v>3061</v>
      </c>
      <c r="C139" s="659" t="s">
        <v>3062</v>
      </c>
      <c r="D139" s="660">
        <f>+D140+D141+D142+D143</f>
        <v>0</v>
      </c>
      <c r="E139" s="660">
        <f>+E140+E141+E142+E143</f>
        <v>0</v>
      </c>
      <c r="F139" s="626"/>
      <c r="G139" s="653"/>
      <c r="J139" s="621"/>
      <c r="K139" s="620"/>
    </row>
    <row r="140" spans="1:11" s="217" customFormat="1" ht="24.95" customHeight="1">
      <c r="A140" s="650" t="s">
        <v>1297</v>
      </c>
      <c r="B140" s="651" t="s">
        <v>3063</v>
      </c>
      <c r="C140" s="652" t="s">
        <v>3064</v>
      </c>
      <c r="D140" s="635">
        <f>+'SP Att Alim'!F218+'SP Att Alim'!F219</f>
        <v>0</v>
      </c>
      <c r="E140" s="635">
        <f>+'SP Att Alim'!G218+'SP Att Alim'!G219</f>
        <v>0</v>
      </c>
      <c r="F140" s="626"/>
      <c r="G140" s="653"/>
      <c r="J140" s="621"/>
      <c r="K140" s="620"/>
    </row>
    <row r="141" spans="1:11" s="217" customFormat="1" ht="24.95" customHeight="1">
      <c r="A141" s="650" t="s">
        <v>1297</v>
      </c>
      <c r="B141" s="651" t="s">
        <v>3065</v>
      </c>
      <c r="C141" s="652" t="s">
        <v>3066</v>
      </c>
      <c r="D141" s="635">
        <f>+'SP Att Alim'!F221+'SP Att Alim'!F222</f>
        <v>0</v>
      </c>
      <c r="E141" s="635">
        <f>+'SP Att Alim'!G221+'SP Att Alim'!G222</f>
        <v>0</v>
      </c>
      <c r="F141" s="626"/>
      <c r="G141" s="653"/>
      <c r="J141" s="621"/>
      <c r="K141" s="620"/>
    </row>
    <row r="142" spans="1:11" s="217" customFormat="1" ht="24.95" customHeight="1">
      <c r="A142" s="650" t="s">
        <v>1297</v>
      </c>
      <c r="B142" s="651" t="s">
        <v>3067</v>
      </c>
      <c r="C142" s="652" t="s">
        <v>3068</v>
      </c>
      <c r="D142" s="635">
        <f>+'SP Att Alim'!F224+'SP Att Alim'!F225+'SP Att Alim'!F226+'SP Att Alim'!F227</f>
        <v>0</v>
      </c>
      <c r="E142" s="635">
        <f>+'SP Att Alim'!G224+'SP Att Alim'!G225+'SP Att Alim'!G226+'SP Att Alim'!G227</f>
        <v>0</v>
      </c>
      <c r="F142" s="626"/>
      <c r="G142" s="653"/>
      <c r="J142" s="621"/>
      <c r="K142" s="620"/>
    </row>
    <row r="143" spans="1:11" s="217" customFormat="1" ht="24.95" customHeight="1">
      <c r="A143" s="650" t="s">
        <v>1297</v>
      </c>
      <c r="B143" s="651" t="s">
        <v>3069</v>
      </c>
      <c r="C143" s="652" t="s">
        <v>3070</v>
      </c>
      <c r="D143" s="635">
        <f>+'SP Att Alim'!F229+'SP Att Alim'!F230</f>
        <v>0</v>
      </c>
      <c r="E143" s="635">
        <f>+'SP Att Alim'!G229+'SP Att Alim'!G230</f>
        <v>0</v>
      </c>
      <c r="F143" s="626"/>
      <c r="G143" s="653"/>
      <c r="J143" s="621"/>
      <c r="K143" s="620"/>
    </row>
    <row r="144" spans="1:11" s="217" customFormat="1" ht="24.95" customHeight="1">
      <c r="A144" s="650"/>
      <c r="B144" s="651" t="s">
        <v>3071</v>
      </c>
      <c r="C144" s="652" t="s">
        <v>3072</v>
      </c>
      <c r="D144" s="635">
        <f>+'SP Att Alim'!F232+'SP Att Alim'!F233+'SP Att Alim'!F234+'SP Att Alim'!F235</f>
        <v>0</v>
      </c>
      <c r="E144" s="635">
        <f>+'SP Att Alim'!G232+'SP Att Alim'!G233+'SP Att Alim'!G234+'SP Att Alim'!G235</f>
        <v>0</v>
      </c>
      <c r="F144" s="626"/>
      <c r="G144" s="653"/>
      <c r="J144" s="621"/>
      <c r="K144" s="620"/>
    </row>
    <row r="145" spans="1:11" s="217" customFormat="1" ht="24.95" customHeight="1">
      <c r="A145" s="638"/>
      <c r="B145" s="628" t="s">
        <v>3073</v>
      </c>
      <c r="C145" s="629" t="s">
        <v>3074</v>
      </c>
      <c r="D145" s="630">
        <f>+D146+D157+D164+D165</f>
        <v>40673075.659999996</v>
      </c>
      <c r="E145" s="630">
        <f>+E146+E157+E164+E165</f>
        <v>3952690.59</v>
      </c>
      <c r="F145" s="626"/>
      <c r="G145" s="653"/>
      <c r="J145" s="621"/>
      <c r="K145" s="620"/>
    </row>
    <row r="146" spans="1:11" s="217" customFormat="1" ht="24.95" customHeight="1">
      <c r="A146" s="657"/>
      <c r="B146" s="658" t="s">
        <v>3075</v>
      </c>
      <c r="C146" s="659" t="s">
        <v>3076</v>
      </c>
      <c r="D146" s="660">
        <f>SUM(D147:D156)</f>
        <v>27879205.989999998</v>
      </c>
      <c r="E146" s="660">
        <f>SUM(E147:E156)</f>
        <v>3229778.25</v>
      </c>
      <c r="F146" s="626"/>
      <c r="G146" s="653"/>
      <c r="J146" s="621"/>
      <c r="K146" s="620"/>
    </row>
    <row r="147" spans="1:11" s="217" customFormat="1" ht="33.75" customHeight="1">
      <c r="A147" s="650" t="s">
        <v>3077</v>
      </c>
      <c r="B147" s="651" t="s">
        <v>3078</v>
      </c>
      <c r="C147" s="652" t="s">
        <v>3079</v>
      </c>
      <c r="D147" s="635">
        <f>+'SP Att Alim'!F239+'SP Att Alim'!F240</f>
        <v>0</v>
      </c>
      <c r="E147" s="635">
        <f>+'SP Att Alim'!G239+'SP Att Alim'!G240</f>
        <v>0</v>
      </c>
      <c r="F147" s="626"/>
      <c r="G147" s="653"/>
      <c r="J147" s="621"/>
      <c r="K147" s="620"/>
    </row>
    <row r="148" spans="1:11" s="217" customFormat="1" ht="33.75" customHeight="1">
      <c r="A148" s="650" t="s">
        <v>1248</v>
      </c>
      <c r="B148" s="651" t="s">
        <v>3080</v>
      </c>
      <c r="C148" s="652" t="s">
        <v>3081</v>
      </c>
      <c r="D148" s="635">
        <f>+'SP Att Alim'!F242+'SP Att Alim'!F243</f>
        <v>0</v>
      </c>
      <c r="E148" s="635">
        <f>+'SP Att Alim'!G242+'SP Att Alim'!G243</f>
        <v>0</v>
      </c>
      <c r="F148" s="626"/>
      <c r="G148" s="653"/>
      <c r="J148" s="621"/>
      <c r="K148" s="620"/>
    </row>
    <row r="149" spans="1:11" s="654" customFormat="1" ht="33.75" customHeight="1">
      <c r="A149" s="650" t="s">
        <v>3077</v>
      </c>
      <c r="B149" s="651" t="s">
        <v>3082</v>
      </c>
      <c r="C149" s="661" t="s">
        <v>3083</v>
      </c>
      <c r="D149" s="635">
        <f>+'SP Att Alim'!F245+'SP Att Alim'!F246</f>
        <v>0</v>
      </c>
      <c r="E149" s="635">
        <f>+'SP Att Alim'!G245+'SP Att Alim'!G246</f>
        <v>0</v>
      </c>
      <c r="F149" s="217"/>
      <c r="G149" s="653"/>
      <c r="J149" s="621"/>
      <c r="K149" s="620"/>
    </row>
    <row r="150" spans="1:11" s="217" customFormat="1" ht="33.75" customHeight="1">
      <c r="A150" s="650" t="s">
        <v>3077</v>
      </c>
      <c r="B150" s="651" t="s">
        <v>3084</v>
      </c>
      <c r="C150" s="652" t="s">
        <v>3085</v>
      </c>
      <c r="D150" s="635">
        <f>+'SP Att Alim'!F248+'SP Att Alim'!F249</f>
        <v>0</v>
      </c>
      <c r="E150" s="635">
        <f>+'SP Att Alim'!G248+'SP Att Alim'!G249</f>
        <v>0</v>
      </c>
      <c r="F150" s="654"/>
      <c r="G150" s="655"/>
      <c r="J150" s="621"/>
      <c r="K150" s="620"/>
    </row>
    <row r="151" spans="1:11" s="217" customFormat="1" ht="33.75" customHeight="1">
      <c r="A151" s="650" t="s">
        <v>3077</v>
      </c>
      <c r="B151" s="651" t="s">
        <v>3086</v>
      </c>
      <c r="C151" s="652" t="s">
        <v>3087</v>
      </c>
      <c r="D151" s="635">
        <f>+'SP Att Alim'!F251+'SP Att Alim'!F252</f>
        <v>0</v>
      </c>
      <c r="E151" s="635">
        <f>+'SP Att Alim'!G251+'SP Att Alim'!G252</f>
        <v>0</v>
      </c>
      <c r="F151" s="654"/>
      <c r="G151" s="655"/>
      <c r="J151" s="621"/>
      <c r="K151" s="620"/>
    </row>
    <row r="152" spans="1:11" s="217" customFormat="1" ht="33.75" customHeight="1">
      <c r="A152" s="650" t="s">
        <v>3077</v>
      </c>
      <c r="B152" s="651" t="s">
        <v>3088</v>
      </c>
      <c r="C152" s="652" t="s">
        <v>3089</v>
      </c>
      <c r="D152" s="635">
        <f>+'SP Att Alim'!F254+'SP Att Alim'!F255</f>
        <v>0</v>
      </c>
      <c r="E152" s="635">
        <f>+'SP Att Alim'!G254+'SP Att Alim'!G255</f>
        <v>0</v>
      </c>
      <c r="F152" s="654"/>
      <c r="G152" s="655"/>
      <c r="J152" s="621"/>
      <c r="K152" s="620"/>
    </row>
    <row r="153" spans="1:11" s="217" customFormat="1" ht="33.75" customHeight="1">
      <c r="A153" s="650" t="s">
        <v>3077</v>
      </c>
      <c r="B153" s="651" t="s">
        <v>3090</v>
      </c>
      <c r="C153" s="652" t="s">
        <v>3091</v>
      </c>
      <c r="D153" s="635">
        <f>+'SP Att Alim'!F257+'SP Att Alim'!F258+'SP Att Alim'!F259+'SP Att Alim'!F260</f>
        <v>27196515.039999999</v>
      </c>
      <c r="E153" s="635">
        <f>+'SP Att Alim'!G257+'SP Att Alim'!G258+'SP Att Alim'!G259+'SP Att Alim'!G260</f>
        <v>2547087.2999999998</v>
      </c>
      <c r="F153" s="654"/>
      <c r="G153" s="655"/>
      <c r="J153" s="621"/>
      <c r="K153" s="620"/>
    </row>
    <row r="154" spans="1:11" s="654" customFormat="1" ht="33.75" customHeight="1">
      <c r="A154" s="662" t="s">
        <v>3077</v>
      </c>
      <c r="B154" s="651" t="s">
        <v>3092</v>
      </c>
      <c r="C154" s="661" t="s">
        <v>3093</v>
      </c>
      <c r="D154" s="635">
        <f>+'SP Att Alim'!F262+'SP Att Alim'!F263</f>
        <v>0</v>
      </c>
      <c r="E154" s="635">
        <f>+'SP Att Alim'!G262+'SP Att Alim'!G263</f>
        <v>0</v>
      </c>
      <c r="G154" s="653"/>
      <c r="J154" s="621"/>
      <c r="K154" s="620"/>
    </row>
    <row r="155" spans="1:11" s="217" customFormat="1" ht="33.75" customHeight="1">
      <c r="A155" s="662" t="s">
        <v>3077</v>
      </c>
      <c r="B155" s="651" t="s">
        <v>3094</v>
      </c>
      <c r="C155" s="661" t="s">
        <v>3095</v>
      </c>
      <c r="D155" s="635">
        <f>+'SP Att Alim'!F265+'SP Att Alim'!F266+'SP Att Alim'!F267+'SP Att Alim'!F268+'SP Att Alim'!F269</f>
        <v>682690.95</v>
      </c>
      <c r="E155" s="635">
        <f>+'SP Att Alim'!G265+'SP Att Alim'!G266+'SP Att Alim'!G267+'SP Att Alim'!G268+'SP Att Alim'!G269</f>
        <v>682690.95</v>
      </c>
      <c r="F155" s="654"/>
      <c r="G155" s="655"/>
      <c r="J155" s="621"/>
      <c r="K155" s="620"/>
    </row>
    <row r="156" spans="1:11" s="654" customFormat="1" ht="33.75" customHeight="1">
      <c r="A156" s="662" t="s">
        <v>3077</v>
      </c>
      <c r="B156" s="651" t="s">
        <v>3096</v>
      </c>
      <c r="C156" s="661" t="s">
        <v>3097</v>
      </c>
      <c r="D156" s="635">
        <f>+'SP Att Alim'!F271+'SP Att Alim'!F272</f>
        <v>0</v>
      </c>
      <c r="E156" s="635">
        <f>+'SP Att Alim'!G271+'SP Att Alim'!G272</f>
        <v>0</v>
      </c>
      <c r="G156" s="653"/>
      <c r="J156" s="621"/>
      <c r="K156" s="620"/>
    </row>
    <row r="157" spans="1:11" s="637" customFormat="1" ht="33.75" customHeight="1">
      <c r="A157" s="663"/>
      <c r="B157" s="658" t="s">
        <v>3098</v>
      </c>
      <c r="C157" s="664" t="s">
        <v>3099</v>
      </c>
      <c r="D157" s="660">
        <f>SUM(D158:D163)</f>
        <v>12793869.67</v>
      </c>
      <c r="E157" s="660">
        <f>SUM(E158:E163)</f>
        <v>722912.34</v>
      </c>
      <c r="F157" s="665"/>
      <c r="G157" s="666"/>
      <c r="J157" s="621"/>
      <c r="K157" s="620"/>
    </row>
    <row r="158" spans="1:11" s="637" customFormat="1" ht="33.75" customHeight="1">
      <c r="A158" s="667" t="s">
        <v>3077</v>
      </c>
      <c r="B158" s="633" t="s">
        <v>3100</v>
      </c>
      <c r="C158" s="668" t="s">
        <v>3101</v>
      </c>
      <c r="D158" s="635">
        <f>+'SP Att Alim'!F275+'SP Att Alim'!F276</f>
        <v>12793869.67</v>
      </c>
      <c r="E158" s="635">
        <f>+'SP Att Alim'!G275+'SP Att Alim'!G276</f>
        <v>722912.34</v>
      </c>
      <c r="F158" s="665"/>
      <c r="G158" s="666"/>
      <c r="J158" s="621"/>
      <c r="K158" s="620"/>
    </row>
    <row r="159" spans="1:11" s="637" customFormat="1" ht="33.75" customHeight="1">
      <c r="A159" s="667" t="s">
        <v>3077</v>
      </c>
      <c r="B159" s="633" t="s">
        <v>3102</v>
      </c>
      <c r="C159" s="634" t="s">
        <v>3103</v>
      </c>
      <c r="D159" s="635">
        <f>+'SP Att Alim'!F278+'SP Att Alim'!F279</f>
        <v>0</v>
      </c>
      <c r="E159" s="635">
        <f>+'SP Att Alim'!G278+'SP Att Alim'!G279</f>
        <v>0</v>
      </c>
      <c r="F159" s="665"/>
      <c r="G159" s="666"/>
      <c r="J159" s="621"/>
      <c r="K159" s="620"/>
    </row>
    <row r="160" spans="1:11" s="637" customFormat="1" ht="33.75" customHeight="1">
      <c r="A160" s="667" t="s">
        <v>3077</v>
      </c>
      <c r="B160" s="633" t="s">
        <v>3104</v>
      </c>
      <c r="C160" s="668" t="s">
        <v>3105</v>
      </c>
      <c r="D160" s="635">
        <f>+'SP Att Alim'!F281+'SP Att Alim'!F282</f>
        <v>0</v>
      </c>
      <c r="E160" s="635">
        <f>+'SP Att Alim'!G281+'SP Att Alim'!G282</f>
        <v>0</v>
      </c>
      <c r="F160" s="665"/>
      <c r="G160" s="666"/>
      <c r="J160" s="621"/>
      <c r="K160" s="620"/>
    </row>
    <row r="161" spans="1:11" s="637" customFormat="1" ht="33.75" customHeight="1">
      <c r="A161" s="662" t="s">
        <v>3077</v>
      </c>
      <c r="B161" s="651" t="s">
        <v>3106</v>
      </c>
      <c r="C161" s="661" t="s">
        <v>3107</v>
      </c>
      <c r="D161" s="635">
        <f>+'SP Att Alim'!F284</f>
        <v>0</v>
      </c>
      <c r="E161" s="635">
        <f>+'SP Att Alim'!G284</f>
        <v>0</v>
      </c>
      <c r="F161" s="665"/>
      <c r="G161" s="666"/>
      <c r="J161" s="621"/>
      <c r="K161" s="620"/>
    </row>
    <row r="162" spans="1:11" s="637" customFormat="1" ht="33.75" customHeight="1">
      <c r="A162" s="662" t="s">
        <v>3077</v>
      </c>
      <c r="B162" s="651" t="s">
        <v>3108</v>
      </c>
      <c r="C162" s="661" t="s">
        <v>3109</v>
      </c>
      <c r="D162" s="635">
        <f>+'SP Att Alim'!F286+'SP Att Alim'!F287</f>
        <v>0</v>
      </c>
      <c r="E162" s="635">
        <f>+'SP Att Alim'!G286+'SP Att Alim'!G287</f>
        <v>0</v>
      </c>
      <c r="F162" s="665"/>
      <c r="G162" s="666"/>
      <c r="J162" s="621"/>
      <c r="K162" s="620"/>
    </row>
    <row r="163" spans="1:11" s="637" customFormat="1" ht="33.75" customHeight="1">
      <c r="A163" s="662" t="s">
        <v>3077</v>
      </c>
      <c r="B163" s="651" t="s">
        <v>3110</v>
      </c>
      <c r="C163" s="661" t="s">
        <v>3111</v>
      </c>
      <c r="D163" s="635">
        <f>+'SP Att Alim'!F289+'SP Att Alim'!F290</f>
        <v>0</v>
      </c>
      <c r="E163" s="635">
        <f>+'SP Att Alim'!G289+'SP Att Alim'!G290</f>
        <v>0</v>
      </c>
      <c r="F163" s="665"/>
      <c r="G163" s="666"/>
      <c r="J163" s="621"/>
      <c r="K163" s="620"/>
    </row>
    <row r="164" spans="1:11" s="665" customFormat="1" ht="33.75" customHeight="1">
      <c r="A164" s="669"/>
      <c r="B164" s="633" t="s">
        <v>3112</v>
      </c>
      <c r="C164" s="668" t="s">
        <v>3113</v>
      </c>
      <c r="D164" s="635">
        <f>+'SP Att Alim'!F292</f>
        <v>0</v>
      </c>
      <c r="E164" s="635">
        <f>+'SP Att Alim'!G292</f>
        <v>0</v>
      </c>
      <c r="G164" s="636"/>
      <c r="J164" s="621"/>
      <c r="K164" s="620"/>
    </row>
    <row r="165" spans="1:11" s="665" customFormat="1" ht="33.75" customHeight="1">
      <c r="A165" s="669" t="s">
        <v>3077</v>
      </c>
      <c r="B165" s="633" t="s">
        <v>3114</v>
      </c>
      <c r="C165" s="668" t="s">
        <v>3115</v>
      </c>
      <c r="D165" s="635">
        <f>+'SP Att Alim'!F294</f>
        <v>0</v>
      </c>
      <c r="E165" s="635">
        <f>+'SP Att Alim'!G294</f>
        <v>0</v>
      </c>
      <c r="G165" s="636"/>
      <c r="J165" s="621"/>
      <c r="K165" s="620"/>
    </row>
    <row r="166" spans="1:11" s="637" customFormat="1" ht="24.95" customHeight="1">
      <c r="A166" s="632"/>
      <c r="B166" s="639" t="s">
        <v>3116</v>
      </c>
      <c r="C166" s="640" t="s">
        <v>3117</v>
      </c>
      <c r="D166" s="635">
        <f>+'SP Att Alim'!F296+'SP Att Alim'!F297+'SP Att Alim'!F298+'SP Att Alim'!F299</f>
        <v>0</v>
      </c>
      <c r="E166" s="635">
        <f>+'SP Att Alim'!G296+'SP Att Alim'!G297+'SP Att Alim'!G298+'SP Att Alim'!G299</f>
        <v>8241</v>
      </c>
      <c r="F166" s="618"/>
      <c r="G166" s="636"/>
      <c r="J166" s="621"/>
      <c r="K166" s="620"/>
    </row>
    <row r="167" spans="1:11" s="637" customFormat="1" ht="24.95" customHeight="1">
      <c r="A167" s="670"/>
      <c r="B167" s="628" t="s">
        <v>3118</v>
      </c>
      <c r="C167" s="629" t="s">
        <v>3119</v>
      </c>
      <c r="D167" s="630">
        <f>+D168+D172+D173+D174+D175</f>
        <v>96407175.120000005</v>
      </c>
      <c r="E167" s="630">
        <f>+E168+E172+E173+E174+E175</f>
        <v>144100636.19</v>
      </c>
      <c r="F167" s="618"/>
      <c r="G167" s="636"/>
      <c r="J167" s="621"/>
      <c r="K167" s="620"/>
    </row>
    <row r="168" spans="1:11" s="637" customFormat="1" ht="24.95" customHeight="1">
      <c r="A168" s="657"/>
      <c r="B168" s="658" t="s">
        <v>3120</v>
      </c>
      <c r="C168" s="659" t="s">
        <v>3121</v>
      </c>
      <c r="D168" s="660">
        <f>+D169+D170+D171</f>
        <v>96353472.760000005</v>
      </c>
      <c r="E168" s="660">
        <f>+E169+E170+E171</f>
        <v>144044034.57999998</v>
      </c>
      <c r="F168" s="665"/>
      <c r="G168" s="666"/>
      <c r="J168" s="621"/>
      <c r="K168" s="620"/>
    </row>
    <row r="169" spans="1:11" s="637" customFormat="1" ht="24.95" customHeight="1">
      <c r="A169" s="632" t="s">
        <v>1248</v>
      </c>
      <c r="B169" s="633" t="s">
        <v>3122</v>
      </c>
      <c r="C169" s="634" t="s">
        <v>3123</v>
      </c>
      <c r="D169" s="635">
        <f>+'SP Att Alim'!F303</f>
        <v>0</v>
      </c>
      <c r="E169" s="635">
        <f>+'SP Att Alim'!G303</f>
        <v>0</v>
      </c>
      <c r="F169" s="665"/>
      <c r="G169" s="666"/>
      <c r="J169" s="621"/>
      <c r="K169" s="620"/>
    </row>
    <row r="170" spans="1:11" s="637" customFormat="1" ht="24.95" customHeight="1">
      <c r="A170" s="650" t="s">
        <v>1248</v>
      </c>
      <c r="B170" s="651" t="s">
        <v>3124</v>
      </c>
      <c r="C170" s="652" t="s">
        <v>3125</v>
      </c>
      <c r="D170" s="635">
        <f>+'SP Att Alim'!F305+'SP Att Alim'!F306+'SP Att Alim'!F307</f>
        <v>0</v>
      </c>
      <c r="E170" s="635">
        <f>+'SP Att Alim'!G305+'SP Att Alim'!G306+'SP Att Alim'!G307</f>
        <v>0</v>
      </c>
      <c r="F170" s="665"/>
      <c r="G170" s="666"/>
      <c r="J170" s="621"/>
      <c r="K170" s="620"/>
    </row>
    <row r="171" spans="1:11" s="637" customFormat="1" ht="24.95" customHeight="1">
      <c r="A171" s="650" t="s">
        <v>1248</v>
      </c>
      <c r="B171" s="651" t="s">
        <v>3126</v>
      </c>
      <c r="C171" s="652" t="s">
        <v>3127</v>
      </c>
      <c r="D171" s="635">
        <f>+'SP Att Alim'!F309+'SP Att Alim'!F310+'SP Att Alim'!F311</f>
        <v>96353472.760000005</v>
      </c>
      <c r="E171" s="635">
        <f>+'SP Att Alim'!G309+'SP Att Alim'!G310+'SP Att Alim'!G311</f>
        <v>144044034.57999998</v>
      </c>
      <c r="F171" s="665"/>
      <c r="G171" s="666"/>
      <c r="J171" s="621"/>
      <c r="K171" s="620"/>
    </row>
    <row r="172" spans="1:11" s="637" customFormat="1" ht="24.95" customHeight="1">
      <c r="A172" s="650" t="s">
        <v>3077</v>
      </c>
      <c r="B172" s="651" t="s">
        <v>3128</v>
      </c>
      <c r="C172" s="652" t="s">
        <v>3129</v>
      </c>
      <c r="D172" s="635">
        <f>+'SP Att Alim'!F313</f>
        <v>0</v>
      </c>
      <c r="E172" s="635">
        <f>+'SP Att Alim'!G313</f>
        <v>0</v>
      </c>
      <c r="F172" s="665"/>
      <c r="G172" s="666"/>
      <c r="J172" s="621"/>
      <c r="K172" s="620"/>
    </row>
    <row r="173" spans="1:11" s="637" customFormat="1" ht="26.25" customHeight="1">
      <c r="A173" s="650" t="s">
        <v>3077</v>
      </c>
      <c r="B173" s="651" t="s">
        <v>3130</v>
      </c>
      <c r="C173" s="652" t="s">
        <v>3131</v>
      </c>
      <c r="D173" s="635"/>
      <c r="E173" s="635"/>
      <c r="F173" s="665"/>
      <c r="G173" s="666"/>
      <c r="J173" s="621"/>
      <c r="K173" s="620"/>
    </row>
    <row r="174" spans="1:11" s="637" customFormat="1" ht="24.95" customHeight="1">
      <c r="A174" s="650" t="s">
        <v>1297</v>
      </c>
      <c r="B174" s="651" t="s">
        <v>3132</v>
      </c>
      <c r="C174" s="652" t="s">
        <v>3133</v>
      </c>
      <c r="D174" s="635">
        <f>+'SP Att Alim'!F317+'SP Att Alim'!F318+'SP Att Alim'!F319+'SP Att Alim'!F320</f>
        <v>53702.36</v>
      </c>
      <c r="E174" s="635">
        <f>+'SP Att Alim'!G317+'SP Att Alim'!G318+'SP Att Alim'!G319+'SP Att Alim'!G320</f>
        <v>56601.61</v>
      </c>
      <c r="F174" s="665"/>
      <c r="G174" s="666"/>
      <c r="J174" s="621"/>
      <c r="K174" s="620"/>
    </row>
    <row r="175" spans="1:11" s="637" customFormat="1" ht="24.95" customHeight="1">
      <c r="A175" s="662" t="s">
        <v>1248</v>
      </c>
      <c r="B175" s="651" t="s">
        <v>3134</v>
      </c>
      <c r="C175" s="97" t="s">
        <v>3135</v>
      </c>
      <c r="D175" s="635">
        <f>+'SP Att Alim'!F322</f>
        <v>0</v>
      </c>
      <c r="E175" s="635">
        <f>+'SP Att Alim'!G322</f>
        <v>0</v>
      </c>
      <c r="F175" s="665"/>
      <c r="G175" s="666"/>
      <c r="J175" s="621"/>
      <c r="K175" s="620"/>
    </row>
    <row r="176" spans="1:11" s="637" customFormat="1" ht="24.95" customHeight="1">
      <c r="A176" s="638"/>
      <c r="B176" s="628" t="s">
        <v>3136</v>
      </c>
      <c r="C176" s="629" t="s">
        <v>3137</v>
      </c>
      <c r="D176" s="630">
        <f>+D177+D178+D179</f>
        <v>0</v>
      </c>
      <c r="E176" s="630">
        <f>+E177+E178+E179</f>
        <v>0</v>
      </c>
      <c r="F176" s="618"/>
      <c r="G176" s="636"/>
      <c r="J176" s="621"/>
      <c r="K176" s="620"/>
    </row>
    <row r="177" spans="1:11" s="637" customFormat="1" ht="24.95" customHeight="1">
      <c r="A177" s="632"/>
      <c r="B177" s="633" t="s">
        <v>3138</v>
      </c>
      <c r="C177" s="634" t="s">
        <v>3139</v>
      </c>
      <c r="D177" s="635">
        <f>+'SP Att Alim'!F325+'SP Att Alim'!F326</f>
        <v>0</v>
      </c>
      <c r="E177" s="635">
        <f>+'SP Att Alim'!G325+'SP Att Alim'!G326</f>
        <v>0</v>
      </c>
      <c r="F177" s="618"/>
      <c r="G177" s="636"/>
      <c r="J177" s="621"/>
      <c r="K177" s="620"/>
    </row>
    <row r="178" spans="1:11" s="637" customFormat="1" ht="24.95" customHeight="1">
      <c r="A178" s="632"/>
      <c r="B178" s="633" t="s">
        <v>3140</v>
      </c>
      <c r="C178" s="634" t="s">
        <v>3141</v>
      </c>
      <c r="D178" s="635">
        <f>+'SP Att Alim'!F328+'SP Att Alim'!F329</f>
        <v>0</v>
      </c>
      <c r="E178" s="635">
        <f>+'SP Att Alim'!G328+'SP Att Alim'!G329</f>
        <v>0</v>
      </c>
      <c r="F178" s="618"/>
      <c r="G178" s="636"/>
      <c r="J178" s="621"/>
      <c r="K178" s="620"/>
    </row>
    <row r="179" spans="1:11" s="637" customFormat="1" ht="24.95" customHeight="1">
      <c r="A179" s="632"/>
      <c r="B179" s="633" t="s">
        <v>3142</v>
      </c>
      <c r="C179" s="634" t="s">
        <v>3143</v>
      </c>
      <c r="D179" s="635">
        <f>+'SP Att Alim'!F331+'SP Att Alim'!F332+'SP Att Alim'!F333+'SP Att Alim'!F334</f>
        <v>0</v>
      </c>
      <c r="E179" s="635">
        <f>+'SP Att Alim'!G331+'SP Att Alim'!G332+'SP Att Alim'!G333+'SP Att Alim'!G334</f>
        <v>0</v>
      </c>
      <c r="F179" s="618"/>
      <c r="G179" s="636"/>
      <c r="J179" s="621"/>
      <c r="K179" s="620"/>
    </row>
    <row r="180" spans="1:11" s="637" customFormat="1" ht="24.95" customHeight="1">
      <c r="A180" s="632"/>
      <c r="B180" s="639" t="s">
        <v>3144</v>
      </c>
      <c r="C180" s="640" t="s">
        <v>3145</v>
      </c>
      <c r="D180" s="635">
        <f>+'SP Att Alim'!F336+'SP Att Alim'!F337+'SP Att Alim'!F338+'SP Att Alim'!F339+'SP Att Alim'!F340+'SP Att Alim'!F341+'SP Att Alim'!F342+'SP Att Alim'!F343</f>
        <v>47454.23</v>
      </c>
      <c r="E180" s="635">
        <f>+'SP Att Alim'!G336+'SP Att Alim'!G337+'SP Att Alim'!G338+'SP Att Alim'!G339+'SP Att Alim'!G340+'SP Att Alim'!G341+'SP Att Alim'!G342+'SP Att Alim'!G343</f>
        <v>35876.69</v>
      </c>
      <c r="F180" s="618"/>
      <c r="G180" s="636"/>
      <c r="J180" s="621"/>
      <c r="K180" s="620"/>
    </row>
    <row r="181" spans="1:11" s="637" customFormat="1" ht="24.95" customHeight="1">
      <c r="A181" s="638"/>
      <c r="B181" s="628" t="s">
        <v>3146</v>
      </c>
      <c r="C181" s="629" t="s">
        <v>3147</v>
      </c>
      <c r="D181" s="630">
        <f>+D182+D183+D184+D185+D186+D189</f>
        <v>508369.88</v>
      </c>
      <c r="E181" s="630">
        <f>+E182+E183+E184+E185+E186+E189</f>
        <v>566464.68999999994</v>
      </c>
      <c r="F181" s="618"/>
      <c r="G181" s="636"/>
      <c r="J181" s="621"/>
      <c r="K181" s="620"/>
    </row>
    <row r="182" spans="1:11" s="637" customFormat="1" ht="24.95" customHeight="1">
      <c r="A182" s="632"/>
      <c r="B182" s="633" t="s">
        <v>3148</v>
      </c>
      <c r="C182" s="634" t="s">
        <v>3149</v>
      </c>
      <c r="D182" s="635">
        <f>+'SP Att Alim'!F346+'SP Att Alim'!F347+'SP Att Alim'!F348+'SP Att Alim'!F349+'SP Att Alim'!F350+'SP Att Alim'!F351</f>
        <v>6435.5</v>
      </c>
      <c r="E182" s="635">
        <f>+'SP Att Alim'!G346+'SP Att Alim'!G347+'SP Att Alim'!G348+'SP Att Alim'!G349+'SP Att Alim'!G350+'SP Att Alim'!G351</f>
        <v>193340.38</v>
      </c>
      <c r="F182" s="618"/>
      <c r="G182" s="636"/>
      <c r="J182" s="621"/>
      <c r="K182" s="620"/>
    </row>
    <row r="183" spans="1:11" s="637" customFormat="1" ht="24.95" customHeight="1">
      <c r="A183" s="632"/>
      <c r="B183" s="633" t="s">
        <v>3150</v>
      </c>
      <c r="C183" s="634" t="s">
        <v>3151</v>
      </c>
      <c r="D183" s="635">
        <f>+'SP Att Alim'!F353+'SP Att Alim'!F354</f>
        <v>0</v>
      </c>
      <c r="E183" s="635">
        <f>+'SP Att Alim'!G353+'SP Att Alim'!G354</f>
        <v>0</v>
      </c>
      <c r="F183" s="618"/>
      <c r="G183" s="636"/>
      <c r="J183" s="621"/>
      <c r="K183" s="620"/>
    </row>
    <row r="184" spans="1:11" s="637" customFormat="1" ht="24.95" customHeight="1">
      <c r="A184" s="632"/>
      <c r="B184" s="633" t="s">
        <v>3152</v>
      </c>
      <c r="C184" s="634" t="s">
        <v>3153</v>
      </c>
      <c r="D184" s="635">
        <f>+'SP Att Alim'!F356+'SP Att Alim'!F357+'SP Att Alim'!F358+'SP Att Alim'!F359+'SP Att Alim'!F360</f>
        <v>382724.02</v>
      </c>
      <c r="E184" s="635">
        <f>+'SP Att Alim'!G356+'SP Att Alim'!G357+'SP Att Alim'!G358+'SP Att Alim'!G359+'SP Att Alim'!G360</f>
        <v>264431.73</v>
      </c>
      <c r="F184" s="618"/>
      <c r="G184" s="636"/>
      <c r="J184" s="621"/>
      <c r="K184" s="620"/>
    </row>
    <row r="185" spans="1:11" s="637" customFormat="1" ht="24.95" customHeight="1">
      <c r="A185" s="632"/>
      <c r="B185" s="633" t="s">
        <v>3154</v>
      </c>
      <c r="C185" s="634" t="s">
        <v>3155</v>
      </c>
      <c r="D185" s="635">
        <f>+'SP Att Alim'!F362+'SP Att Alim'!F363</f>
        <v>0</v>
      </c>
      <c r="E185" s="635">
        <f>+'SP Att Alim'!G362+'SP Att Alim'!G363</f>
        <v>0</v>
      </c>
      <c r="F185" s="618"/>
      <c r="G185" s="636"/>
      <c r="J185" s="621"/>
      <c r="K185" s="620"/>
    </row>
    <row r="186" spans="1:11" s="637" customFormat="1" ht="24.95" customHeight="1">
      <c r="A186" s="657"/>
      <c r="B186" s="658" t="s">
        <v>3156</v>
      </c>
      <c r="C186" s="659" t="s">
        <v>3157</v>
      </c>
      <c r="D186" s="660">
        <f>+D187+D188</f>
        <v>119210.36</v>
      </c>
      <c r="E186" s="660">
        <f>+E187+E188</f>
        <v>108692.58</v>
      </c>
      <c r="F186" s="618"/>
      <c r="G186" s="636"/>
      <c r="J186" s="621"/>
      <c r="K186" s="620"/>
    </row>
    <row r="187" spans="1:11" s="637" customFormat="1" ht="24.95" customHeight="1">
      <c r="A187" s="641"/>
      <c r="B187" s="671" t="s">
        <v>3158</v>
      </c>
      <c r="C187" s="672" t="s">
        <v>3159</v>
      </c>
      <c r="D187" s="635">
        <f>+'SP Att Alim'!F366+'SP Att Alim'!F367+'SP Att Alim'!F368+'SP Att Alim'!F369+'SP Att Alim'!F370+'SP Att Alim'!F371+'SP Att Alim'!F372+'SP Att Alim'!F373</f>
        <v>119210.36</v>
      </c>
      <c r="E187" s="635">
        <f>+'SP Att Alim'!G366+'SP Att Alim'!G367+'SP Att Alim'!G368+'SP Att Alim'!G369+'SP Att Alim'!G370+'SP Att Alim'!G371+'SP Att Alim'!G372+'SP Att Alim'!G373</f>
        <v>108692.58</v>
      </c>
      <c r="F187" s="618"/>
      <c r="G187" s="636"/>
      <c r="J187" s="621"/>
      <c r="K187" s="620"/>
    </row>
    <row r="188" spans="1:11" s="637" customFormat="1" ht="24.95" customHeight="1">
      <c r="A188" s="632"/>
      <c r="B188" s="673" t="s">
        <v>3160</v>
      </c>
      <c r="C188" s="674" t="s">
        <v>3161</v>
      </c>
      <c r="D188" s="635">
        <f>+'SP Att Alim'!F375</f>
        <v>0</v>
      </c>
      <c r="E188" s="635">
        <f>+'SP Att Alim'!G375</f>
        <v>0</v>
      </c>
      <c r="F188" s="618"/>
      <c r="G188" s="636"/>
      <c r="J188" s="621"/>
      <c r="K188" s="620"/>
    </row>
    <row r="189" spans="1:11" s="637" customFormat="1" ht="24.95" customHeight="1">
      <c r="A189" s="657"/>
      <c r="B189" s="675" t="s">
        <v>3162</v>
      </c>
      <c r="C189" s="676" t="s">
        <v>3163</v>
      </c>
      <c r="D189" s="660">
        <f>+D190+D191</f>
        <v>0</v>
      </c>
      <c r="E189" s="660">
        <f>+E190+E191</f>
        <v>0</v>
      </c>
      <c r="F189" s="618"/>
      <c r="G189" s="636"/>
      <c r="J189" s="621"/>
      <c r="K189" s="620"/>
    </row>
    <row r="190" spans="1:11" s="637" customFormat="1" ht="24.95" customHeight="1">
      <c r="A190" s="641"/>
      <c r="B190" s="671" t="s">
        <v>3164</v>
      </c>
      <c r="C190" s="674" t="s">
        <v>3165</v>
      </c>
      <c r="D190" s="635">
        <f>+'SP Att Alim'!F378</f>
        <v>0</v>
      </c>
      <c r="E190" s="635">
        <f>+'SP Att Alim'!G378</f>
        <v>0</v>
      </c>
      <c r="F190" s="618"/>
      <c r="G190" s="636"/>
      <c r="J190" s="621"/>
      <c r="K190" s="620"/>
    </row>
    <row r="191" spans="1:11" s="637" customFormat="1" ht="24.95" customHeight="1">
      <c r="A191" s="632"/>
      <c r="B191" s="671" t="s">
        <v>3166</v>
      </c>
      <c r="C191" s="674" t="s">
        <v>3167</v>
      </c>
      <c r="D191" s="635">
        <f>+'SP Att Alim'!F380</f>
        <v>0</v>
      </c>
      <c r="E191" s="635">
        <f>+'SP Att Alim'!G380</f>
        <v>0</v>
      </c>
      <c r="F191" s="618"/>
      <c r="G191" s="636"/>
      <c r="J191" s="621"/>
      <c r="K191" s="620"/>
    </row>
    <row r="192" spans="1:11" s="637" customFormat="1" ht="24.95" customHeight="1">
      <c r="A192" s="645"/>
      <c r="B192" s="677" t="s">
        <v>3168</v>
      </c>
      <c r="C192" s="678" t="s">
        <v>3169</v>
      </c>
      <c r="D192" s="679">
        <f>+D193+D194</f>
        <v>0</v>
      </c>
      <c r="E192" s="679">
        <f>+E193+E194</f>
        <v>0</v>
      </c>
      <c r="F192" s="618"/>
      <c r="G192" s="636"/>
      <c r="J192" s="621"/>
      <c r="K192" s="620"/>
    </row>
    <row r="193" spans="1:11" s="637" customFormat="1" ht="24.95" customHeight="1">
      <c r="A193" s="632"/>
      <c r="B193" s="639" t="s">
        <v>3170</v>
      </c>
      <c r="C193" s="640" t="s">
        <v>3171</v>
      </c>
      <c r="D193" s="635">
        <f>+'SP Att Alim'!F383+'SP Att Alim'!F384+'SP Att Alim'!F385</f>
        <v>0</v>
      </c>
      <c r="E193" s="635">
        <f>+'SP Att Alim'!G383+'SP Att Alim'!G384+'SP Att Alim'!G385</f>
        <v>0</v>
      </c>
      <c r="F193" s="618"/>
      <c r="G193" s="636"/>
      <c r="J193" s="621"/>
      <c r="K193" s="620"/>
    </row>
    <row r="194" spans="1:11" s="637" customFormat="1" ht="24.95" customHeight="1" thickBot="1">
      <c r="A194" s="642"/>
      <c r="B194" s="680" t="s">
        <v>3172</v>
      </c>
      <c r="C194" s="681" t="s">
        <v>3173</v>
      </c>
      <c r="D194" s="635">
        <f>+'SP Att Alim'!F387</f>
        <v>0</v>
      </c>
      <c r="E194" s="635">
        <f>+'SP Att Alim'!G387</f>
        <v>0</v>
      </c>
      <c r="F194" s="618"/>
      <c r="G194" s="636"/>
      <c r="J194" s="621"/>
      <c r="K194" s="620"/>
    </row>
    <row r="195" spans="1:11" s="637" customFormat="1" ht="24.95" customHeight="1">
      <c r="A195" s="645"/>
      <c r="B195" s="646" t="s">
        <v>3174</v>
      </c>
      <c r="C195" s="647" t="s">
        <v>3175</v>
      </c>
      <c r="D195" s="648">
        <f>+D196+D197+D198+D199</f>
        <v>38999329.549999997</v>
      </c>
      <c r="E195" s="648">
        <f>+E196+E197+E198+E199</f>
        <v>32808726.25</v>
      </c>
      <c r="F195" s="618"/>
      <c r="G195" s="636"/>
      <c r="J195" s="621"/>
      <c r="K195" s="620"/>
    </row>
    <row r="196" spans="1:11" s="637" customFormat="1" ht="24.95" customHeight="1">
      <c r="A196" s="632"/>
      <c r="B196" s="639" t="s">
        <v>3176</v>
      </c>
      <c r="C196" s="640" t="s">
        <v>3177</v>
      </c>
      <c r="D196" s="635">
        <f>+'SP Att Alim'!F391+'SP Att Alim'!F392+'SP Att Alim'!F394+'SP Att Alim'!F395</f>
        <v>1343</v>
      </c>
      <c r="E196" s="635">
        <f>+'SP Att Alim'!G391+'SP Att Alim'!G392+'SP Att Alim'!G394+'SP Att Alim'!G395</f>
        <v>1373.42</v>
      </c>
      <c r="F196" s="618"/>
      <c r="G196" s="636"/>
      <c r="J196" s="621"/>
      <c r="K196" s="620"/>
    </row>
    <row r="197" spans="1:11" s="637" customFormat="1" ht="24.95" customHeight="1">
      <c r="A197" s="632"/>
      <c r="B197" s="639" t="s">
        <v>3178</v>
      </c>
      <c r="C197" s="640" t="s">
        <v>3179</v>
      </c>
      <c r="D197" s="635">
        <f>+'SP Att Alim'!F397+'SP Att Alim'!F398+'SP Att Alim'!F399+'SP Att Alim'!F400+'SP Att Alim'!F401</f>
        <v>38997986.549999997</v>
      </c>
      <c r="E197" s="635">
        <f>+'SP Att Alim'!G397+'SP Att Alim'!G398+'SP Att Alim'!G399+'SP Att Alim'!G400+'SP Att Alim'!G401</f>
        <v>32807352.829999998</v>
      </c>
      <c r="F197" s="618"/>
      <c r="G197" s="636"/>
      <c r="J197" s="621"/>
      <c r="K197" s="620"/>
    </row>
    <row r="198" spans="1:11" s="637" customFormat="1" ht="24.95" customHeight="1">
      <c r="A198" s="632"/>
      <c r="B198" s="639" t="s">
        <v>3180</v>
      </c>
      <c r="C198" s="640" t="s">
        <v>3181</v>
      </c>
      <c r="D198" s="635">
        <f>+'SP Att Alim'!F403</f>
        <v>0</v>
      </c>
      <c r="E198" s="635">
        <f>+'SP Att Alim'!G403</f>
        <v>0</v>
      </c>
      <c r="F198" s="618"/>
      <c r="G198" s="636"/>
      <c r="J198" s="621"/>
      <c r="K198" s="620"/>
    </row>
    <row r="199" spans="1:11" s="637" customFormat="1" ht="24.95" customHeight="1" thickBot="1">
      <c r="A199" s="642"/>
      <c r="B199" s="680" t="s">
        <v>3182</v>
      </c>
      <c r="C199" s="681" t="s">
        <v>3183</v>
      </c>
      <c r="D199" s="635">
        <f>+'SP Att Alim'!F405+'SP Att Alim'!F406+'SP Att Alim'!F407+'SP Att Alim'!F408+'SP Att Alim'!F409+'SP Att Alim'!F411+'SP Att Alim'!F412+'SP Att Alim'!F413+'SP Att Alim'!F414+'SP Att Alim'!F415+'SP Att Alim'!F416+'SP Att Alim'!F417+'SP Att Alim'!F418+'SP Att Alim'!F419+'SP Att Alim'!F420+'SP Att Alim'!F421+'SP Att Alim'!F422</f>
        <v>0</v>
      </c>
      <c r="E199" s="635">
        <f>+'SP Att Alim'!G405+'SP Att Alim'!G406+'SP Att Alim'!G407+'SP Att Alim'!G408+'SP Att Alim'!G409+'SP Att Alim'!G411+'SP Att Alim'!G412+'SP Att Alim'!G413+'SP Att Alim'!G414+'SP Att Alim'!G415+'SP Att Alim'!G416+'SP Att Alim'!G417+'SP Att Alim'!G418+'SP Att Alim'!G419+'SP Att Alim'!G420+'SP Att Alim'!G421+'SP Att Alim'!G422</f>
        <v>0</v>
      </c>
      <c r="F199" s="618"/>
      <c r="G199" s="636"/>
      <c r="J199" s="621"/>
      <c r="K199" s="620"/>
    </row>
    <row r="200" spans="1:11" s="637" customFormat="1" ht="24.95" customHeight="1">
      <c r="A200" s="614"/>
      <c r="B200" s="615" t="s">
        <v>3184</v>
      </c>
      <c r="C200" s="616" t="s">
        <v>3185</v>
      </c>
      <c r="D200" s="649">
        <f>+D201+D204</f>
        <v>663555.41</v>
      </c>
      <c r="E200" s="649">
        <f>+E201+E204</f>
        <v>1841598.81</v>
      </c>
      <c r="F200" s="618"/>
      <c r="G200" s="636"/>
      <c r="J200" s="621"/>
      <c r="K200" s="620"/>
    </row>
    <row r="201" spans="1:11" s="637" customFormat="1" ht="24.95" customHeight="1">
      <c r="A201" s="622"/>
      <c r="B201" s="623" t="s">
        <v>3186</v>
      </c>
      <c r="C201" s="624" t="s">
        <v>3187</v>
      </c>
      <c r="D201" s="625">
        <f>+D202+D203</f>
        <v>0</v>
      </c>
      <c r="E201" s="625">
        <f>+E202+E203</f>
        <v>0</v>
      </c>
      <c r="F201" s="618"/>
      <c r="G201" s="636"/>
      <c r="J201" s="621"/>
      <c r="K201" s="620"/>
    </row>
    <row r="202" spans="1:11" s="637" customFormat="1" ht="24.95" customHeight="1">
      <c r="A202" s="632"/>
      <c r="B202" s="639" t="s">
        <v>3188</v>
      </c>
      <c r="C202" s="640" t="s">
        <v>3189</v>
      </c>
      <c r="D202" s="635">
        <f>+'SP Att Alim'!F426</f>
        <v>0</v>
      </c>
      <c r="E202" s="635">
        <f>+'SP Att Alim'!G426</f>
        <v>0</v>
      </c>
      <c r="F202" s="618"/>
      <c r="G202" s="636"/>
      <c r="J202" s="621"/>
      <c r="K202" s="620"/>
    </row>
    <row r="203" spans="1:11" s="637" customFormat="1" ht="24.95" customHeight="1">
      <c r="A203" s="682" t="s">
        <v>1248</v>
      </c>
      <c r="B203" s="639" t="s">
        <v>3190</v>
      </c>
      <c r="C203" s="640" t="s">
        <v>3191</v>
      </c>
      <c r="D203" s="635">
        <f>+'SP Att Alim'!F428</f>
        <v>0</v>
      </c>
      <c r="E203" s="635">
        <f>+'SP Att Alim'!G428</f>
        <v>0</v>
      </c>
      <c r="F203" s="618"/>
      <c r="G203" s="636"/>
      <c r="J203" s="621"/>
      <c r="K203" s="620"/>
    </row>
    <row r="204" spans="1:11" s="637" customFormat="1" ht="24.95" customHeight="1">
      <c r="A204" s="622"/>
      <c r="B204" s="623" t="s">
        <v>3192</v>
      </c>
      <c r="C204" s="624" t="s">
        <v>3193</v>
      </c>
      <c r="D204" s="625">
        <f>+D205+D206</f>
        <v>663555.41</v>
      </c>
      <c r="E204" s="625">
        <f>+E205+E206</f>
        <v>1841598.81</v>
      </c>
      <c r="F204" s="618"/>
      <c r="G204" s="636"/>
      <c r="J204" s="621"/>
      <c r="K204" s="620"/>
    </row>
    <row r="205" spans="1:11" s="637" customFormat="1" ht="24.95" customHeight="1">
      <c r="A205" s="632"/>
      <c r="B205" s="639" t="s">
        <v>3194</v>
      </c>
      <c r="C205" s="640" t="s">
        <v>3195</v>
      </c>
      <c r="D205" s="635">
        <f>+'SP Att Alim'!F431</f>
        <v>663555.41</v>
      </c>
      <c r="E205" s="635">
        <f>+'SP Att Alim'!G431</f>
        <v>1841598.81</v>
      </c>
      <c r="F205" s="618"/>
      <c r="G205" s="636"/>
      <c r="J205" s="621"/>
      <c r="K205" s="620"/>
    </row>
    <row r="206" spans="1:11" s="637" customFormat="1" ht="24.95" customHeight="1" thickBot="1">
      <c r="A206" s="683" t="s">
        <v>1248</v>
      </c>
      <c r="B206" s="680" t="s">
        <v>3196</v>
      </c>
      <c r="C206" s="681" t="s">
        <v>3197</v>
      </c>
      <c r="D206" s="635">
        <f>+'SP Att Alim'!F433</f>
        <v>0</v>
      </c>
      <c r="E206" s="635">
        <f>+'SP Att Alim'!G433</f>
        <v>0</v>
      </c>
      <c r="F206" s="618"/>
      <c r="G206" s="636"/>
      <c r="J206" s="621"/>
      <c r="K206" s="620"/>
    </row>
    <row r="207" spans="1:11" s="637" customFormat="1" ht="24.95" customHeight="1" thickBot="1">
      <c r="A207" s="684"/>
      <c r="B207" s="685" t="s">
        <v>3198</v>
      </c>
      <c r="C207" s="686" t="s">
        <v>3199</v>
      </c>
      <c r="D207" s="687">
        <f>+D30+D108+D200</f>
        <v>243721454.90999997</v>
      </c>
      <c r="E207" s="687">
        <f>+E30+E108+E200</f>
        <v>249702444.94999999</v>
      </c>
      <c r="F207" s="618"/>
      <c r="G207" s="636"/>
      <c r="J207" s="621"/>
      <c r="K207" s="620"/>
    </row>
    <row r="208" spans="1:11" s="637" customFormat="1" ht="24.95" customHeight="1">
      <c r="A208" s="688"/>
      <c r="B208" s="615" t="s">
        <v>3200</v>
      </c>
      <c r="C208" s="689" t="s">
        <v>3201</v>
      </c>
      <c r="D208" s="690">
        <f>+D209+D210+D211+D212+D213</f>
        <v>347396.87</v>
      </c>
      <c r="E208" s="690">
        <f>+E209+E210+E211+E212+E213</f>
        <v>347396.87</v>
      </c>
      <c r="F208" s="618"/>
      <c r="G208" s="636"/>
      <c r="J208" s="621"/>
      <c r="K208" s="620"/>
    </row>
    <row r="209" spans="1:11" s="637" customFormat="1" ht="24.95" customHeight="1">
      <c r="A209" s="632"/>
      <c r="B209" s="691" t="s">
        <v>3202</v>
      </c>
      <c r="C209" s="692" t="s">
        <v>3203</v>
      </c>
      <c r="D209" s="635">
        <f>+'SP Att Alim'!F437</f>
        <v>0</v>
      </c>
      <c r="E209" s="635">
        <f>+'SP Att Alim'!G437</f>
        <v>0</v>
      </c>
      <c r="F209" s="618"/>
      <c r="G209" s="636"/>
      <c r="J209" s="621"/>
      <c r="K209" s="620"/>
    </row>
    <row r="210" spans="1:11" s="637" customFormat="1" ht="24.95" customHeight="1">
      <c r="A210" s="632"/>
      <c r="B210" s="691" t="s">
        <v>3204</v>
      </c>
      <c r="C210" s="692" t="s">
        <v>3205</v>
      </c>
      <c r="D210" s="635">
        <f>+'SP Att Alim'!F439</f>
        <v>0</v>
      </c>
      <c r="E210" s="635">
        <f>+'SP Att Alim'!G439</f>
        <v>0</v>
      </c>
      <c r="F210" s="618"/>
      <c r="G210" s="636"/>
      <c r="J210" s="621"/>
      <c r="K210" s="620"/>
    </row>
    <row r="211" spans="1:11" s="637" customFormat="1" ht="24.95" customHeight="1">
      <c r="A211" s="632"/>
      <c r="B211" s="691" t="s">
        <v>3206</v>
      </c>
      <c r="C211" s="692" t="s">
        <v>3207</v>
      </c>
      <c r="D211" s="635">
        <f>+'SP Att Alim'!F441</f>
        <v>347396.87</v>
      </c>
      <c r="E211" s="635">
        <f>+'SP Att Alim'!G441</f>
        <v>347396.87</v>
      </c>
      <c r="F211" s="618"/>
      <c r="G211" s="636"/>
      <c r="J211" s="621"/>
      <c r="K211" s="620"/>
    </row>
    <row r="212" spans="1:11" s="637" customFormat="1" ht="24.95" customHeight="1">
      <c r="A212" s="693"/>
      <c r="B212" s="691" t="s">
        <v>3208</v>
      </c>
      <c r="C212" s="692" t="s">
        <v>3209</v>
      </c>
      <c r="D212" s="635">
        <f>+'SP Att Alim'!F443</f>
        <v>0</v>
      </c>
      <c r="E212" s="635">
        <f>+'SP Att Alim'!G443</f>
        <v>0</v>
      </c>
      <c r="F212" s="618"/>
      <c r="G212" s="636"/>
      <c r="J212" s="621"/>
      <c r="K212" s="620"/>
    </row>
    <row r="213" spans="1:11" s="637" customFormat="1" ht="24.95" customHeight="1" thickBot="1">
      <c r="A213" s="642"/>
      <c r="B213" s="694" t="s">
        <v>3210</v>
      </c>
      <c r="C213" s="695" t="s">
        <v>3211</v>
      </c>
      <c r="D213" s="635">
        <f>+'SP Att Alim'!F445+'SP Att Alim'!F446+'SP Att Alim'!F447+'SP Att Alim'!F448+'SP Att Alim'!F449</f>
        <v>0</v>
      </c>
      <c r="E213" s="635">
        <f>+'SP Att Alim'!G445+'SP Att Alim'!G446+'SP Att Alim'!G447+'SP Att Alim'!G448+'SP Att Alim'!G449</f>
        <v>0</v>
      </c>
      <c r="F213" s="618"/>
      <c r="G213" s="636"/>
      <c r="J213" s="621"/>
      <c r="K213" s="620"/>
    </row>
    <row r="214" spans="1:11" s="637" customFormat="1" ht="24.95" customHeight="1">
      <c r="A214" s="688"/>
      <c r="B214" s="615" t="s">
        <v>3212</v>
      </c>
      <c r="C214" s="616" t="s">
        <v>3213</v>
      </c>
      <c r="D214" s="649">
        <f>+D215+D216+D225+D226+D232+D236+D237</f>
        <v>20072437.450000063</v>
      </c>
      <c r="E214" s="649">
        <f>+E215+E216+E225+E226+E232+E236+E237</f>
        <v>7340658.0799999088</v>
      </c>
      <c r="F214" s="618"/>
      <c r="G214" s="636"/>
      <c r="J214" s="621"/>
      <c r="K214" s="620"/>
    </row>
    <row r="215" spans="1:11" s="637" customFormat="1" ht="24.95" customHeight="1">
      <c r="A215" s="632"/>
      <c r="B215" s="696" t="s">
        <v>3214</v>
      </c>
      <c r="C215" s="697" t="s">
        <v>3215</v>
      </c>
      <c r="D215" s="635">
        <f>+'SP Pas Alim'!F5</f>
        <v>0</v>
      </c>
      <c r="E215" s="635">
        <f>+'SP Pas Alim'!G5</f>
        <v>0</v>
      </c>
      <c r="F215" s="618"/>
      <c r="G215" s="636"/>
      <c r="J215" s="621"/>
      <c r="K215" s="620"/>
    </row>
    <row r="216" spans="1:11" s="637" customFormat="1" ht="24.95" customHeight="1">
      <c r="A216" s="622"/>
      <c r="B216" s="623" t="s">
        <v>3216</v>
      </c>
      <c r="C216" s="624" t="s">
        <v>3217</v>
      </c>
      <c r="D216" s="625">
        <f>+D217+D218+D222+D223+D224</f>
        <v>12693434.290000001</v>
      </c>
      <c r="E216" s="625">
        <f>+E217+E218+E222+E223+E224</f>
        <v>808959.73</v>
      </c>
      <c r="F216" s="618"/>
      <c r="G216" s="636"/>
      <c r="J216" s="621"/>
      <c r="K216" s="620"/>
    </row>
    <row r="217" spans="1:11" s="637" customFormat="1" ht="24.95" customHeight="1">
      <c r="A217" s="632"/>
      <c r="B217" s="639" t="s">
        <v>3218</v>
      </c>
      <c r="C217" s="640" t="s">
        <v>3219</v>
      </c>
      <c r="D217" s="635">
        <f>+'SP Pas Alim'!F8</f>
        <v>0</v>
      </c>
      <c r="E217" s="635">
        <f>+'SP Pas Alim'!G8</f>
        <v>0</v>
      </c>
      <c r="F217" s="618"/>
      <c r="G217" s="636"/>
      <c r="J217" s="621"/>
      <c r="K217" s="620"/>
    </row>
    <row r="218" spans="1:11" s="637" customFormat="1" ht="24.95" customHeight="1">
      <c r="A218" s="638"/>
      <c r="B218" s="628" t="s">
        <v>3220</v>
      </c>
      <c r="C218" s="629" t="s">
        <v>3221</v>
      </c>
      <c r="D218" s="630">
        <f>+D219+D220+D221</f>
        <v>0</v>
      </c>
      <c r="E218" s="630">
        <f>+E219+E220+E221</f>
        <v>0</v>
      </c>
      <c r="F218" s="618"/>
      <c r="G218" s="636"/>
      <c r="J218" s="621"/>
      <c r="K218" s="620"/>
    </row>
    <row r="219" spans="1:11" s="637" customFormat="1" ht="24.95" customHeight="1">
      <c r="A219" s="632"/>
      <c r="B219" s="633" t="s">
        <v>3222</v>
      </c>
      <c r="C219" s="634" t="s">
        <v>3223</v>
      </c>
      <c r="D219" s="635">
        <f>+'SP Pas Alim'!F11</f>
        <v>0</v>
      </c>
      <c r="E219" s="635">
        <f>+'SP Pas Alim'!G11</f>
        <v>0</v>
      </c>
      <c r="F219" s="618"/>
      <c r="G219" s="636"/>
      <c r="J219" s="621"/>
      <c r="K219" s="620"/>
    </row>
    <row r="220" spans="1:11" s="637" customFormat="1" ht="24.95" customHeight="1">
      <c r="A220" s="632"/>
      <c r="B220" s="633" t="s">
        <v>3224</v>
      </c>
      <c r="C220" s="634" t="s">
        <v>3225</v>
      </c>
      <c r="D220" s="635">
        <f>+'SP Pas Alim'!F13</f>
        <v>0</v>
      </c>
      <c r="E220" s="635">
        <f>+'SP Pas Alim'!G13</f>
        <v>0</v>
      </c>
      <c r="F220" s="618"/>
      <c r="G220" s="636"/>
      <c r="J220" s="621"/>
      <c r="K220" s="620"/>
    </row>
    <row r="221" spans="1:11" s="637" customFormat="1" ht="24.95" customHeight="1">
      <c r="A221" s="632"/>
      <c r="B221" s="633" t="s">
        <v>3226</v>
      </c>
      <c r="C221" s="634" t="s">
        <v>3227</v>
      </c>
      <c r="D221" s="635">
        <f>+'SP Pas Alim'!F15</f>
        <v>0</v>
      </c>
      <c r="E221" s="635">
        <f>+'SP Pas Alim'!G15</f>
        <v>0</v>
      </c>
      <c r="F221" s="618"/>
      <c r="G221" s="636"/>
      <c r="J221" s="621"/>
      <c r="K221" s="620"/>
    </row>
    <row r="222" spans="1:11" s="637" customFormat="1" ht="24.95" customHeight="1">
      <c r="A222" s="632"/>
      <c r="B222" s="639" t="s">
        <v>3228</v>
      </c>
      <c r="C222" s="640" t="s">
        <v>3229</v>
      </c>
      <c r="D222" s="635">
        <f>+'SP Pas Alim'!F17+'SP Pas Alim'!F18</f>
        <v>12691551.83</v>
      </c>
      <c r="E222" s="635">
        <f>+'SP Pas Alim'!G17+'SP Pas Alim'!G18</f>
        <v>807077.27</v>
      </c>
      <c r="F222" s="618"/>
      <c r="G222" s="636"/>
      <c r="J222" s="621"/>
      <c r="K222" s="620"/>
    </row>
    <row r="223" spans="1:11" s="637" customFormat="1" ht="24.95" customHeight="1">
      <c r="A223" s="632"/>
      <c r="B223" s="639" t="s">
        <v>3230</v>
      </c>
      <c r="C223" s="640" t="s">
        <v>3231</v>
      </c>
      <c r="D223" s="635">
        <f>+'SP Pas Alim'!F20+'SP Pas Alim'!F21</f>
        <v>1882.46</v>
      </c>
      <c r="E223" s="635">
        <f>+'SP Pas Alim'!G20+'SP Pas Alim'!G21</f>
        <v>1882.46</v>
      </c>
      <c r="F223" s="618"/>
      <c r="G223" s="636"/>
      <c r="J223" s="621"/>
      <c r="K223" s="620"/>
    </row>
    <row r="224" spans="1:11" s="637" customFormat="1" ht="24.95" customHeight="1">
      <c r="A224" s="632"/>
      <c r="B224" s="639" t="s">
        <v>3232</v>
      </c>
      <c r="C224" s="640" t="s">
        <v>3233</v>
      </c>
      <c r="D224" s="635">
        <f>+'SP Pas Alim'!F23</f>
        <v>0</v>
      </c>
      <c r="E224" s="635">
        <f>+'SP Pas Alim'!G23</f>
        <v>0</v>
      </c>
      <c r="F224" s="618"/>
      <c r="G224" s="636"/>
      <c r="J224" s="621"/>
      <c r="K224" s="620"/>
    </row>
    <row r="225" spans="1:11" s="637" customFormat="1" ht="24.95" customHeight="1">
      <c r="A225" s="632"/>
      <c r="B225" s="696" t="s">
        <v>3234</v>
      </c>
      <c r="C225" s="697" t="s">
        <v>3235</v>
      </c>
      <c r="D225" s="635">
        <f>+'SP Pas Alim'!F25</f>
        <v>0</v>
      </c>
      <c r="E225" s="635">
        <f>+'SP Pas Alim'!G25</f>
        <v>0</v>
      </c>
      <c r="F225" s="618"/>
      <c r="G225" s="636"/>
      <c r="J225" s="621"/>
      <c r="K225" s="620"/>
    </row>
    <row r="226" spans="1:11" s="637" customFormat="1" ht="24.95" customHeight="1">
      <c r="A226" s="622"/>
      <c r="B226" s="623" t="s">
        <v>3236</v>
      </c>
      <c r="C226" s="624" t="s">
        <v>3237</v>
      </c>
      <c r="D226" s="625">
        <f>+D227+D228+D229+D230+D231</f>
        <v>6531698.3500000006</v>
      </c>
      <c r="E226" s="625">
        <f>+E227+E228+E229+E230+E231</f>
        <v>3656736.88</v>
      </c>
      <c r="F226" s="618"/>
      <c r="G226" s="636"/>
      <c r="J226" s="621"/>
      <c r="K226" s="620"/>
    </row>
    <row r="227" spans="1:11" s="637" customFormat="1" ht="24.95" customHeight="1">
      <c r="A227" s="632"/>
      <c r="B227" s="639" t="s">
        <v>3238</v>
      </c>
      <c r="C227" s="640" t="s">
        <v>3239</v>
      </c>
      <c r="D227" s="635">
        <f>+'SP Pas Alim'!F28</f>
        <v>0</v>
      </c>
      <c r="E227" s="635">
        <f>+'SP Pas Alim'!G28</f>
        <v>0</v>
      </c>
      <c r="F227" s="618"/>
      <c r="G227" s="636"/>
      <c r="J227" s="621"/>
      <c r="K227" s="620"/>
    </row>
    <row r="228" spans="1:11" s="637" customFormat="1" ht="24.95" customHeight="1">
      <c r="A228" s="632"/>
      <c r="B228" s="639" t="s">
        <v>3240</v>
      </c>
      <c r="C228" s="640" t="s">
        <v>3241</v>
      </c>
      <c r="D228" s="635">
        <f>+'SP Pas Alim'!F30</f>
        <v>0</v>
      </c>
      <c r="E228" s="635">
        <f>+'SP Pas Alim'!G30</f>
        <v>0</v>
      </c>
      <c r="F228" s="618"/>
      <c r="G228" s="636"/>
      <c r="J228" s="621"/>
      <c r="K228" s="620"/>
    </row>
    <row r="229" spans="1:11" s="637" customFormat="1" ht="24.95" customHeight="1">
      <c r="A229" s="632"/>
      <c r="B229" s="639" t="s">
        <v>3242</v>
      </c>
      <c r="C229" s="640" t="s">
        <v>3243</v>
      </c>
      <c r="D229" s="635">
        <f>+'SP Pas Alim'!F32</f>
        <v>0</v>
      </c>
      <c r="E229" s="635">
        <f>+'SP Pas Alim'!G32</f>
        <v>0</v>
      </c>
      <c r="F229" s="618"/>
      <c r="G229" s="636"/>
      <c r="J229" s="621"/>
      <c r="K229" s="620"/>
    </row>
    <row r="230" spans="1:11" s="637" customFormat="1" ht="24.95" customHeight="1">
      <c r="A230" s="632"/>
      <c r="B230" s="639" t="s">
        <v>3244</v>
      </c>
      <c r="C230" s="640" t="s">
        <v>3245</v>
      </c>
      <c r="D230" s="635">
        <f>+'SP Pas Alim'!F34</f>
        <v>6517767.2000000002</v>
      </c>
      <c r="E230" s="635">
        <f>+'SP Pas Alim'!G34</f>
        <v>3642805.73</v>
      </c>
      <c r="F230" s="618"/>
      <c r="G230" s="636"/>
      <c r="J230" s="621"/>
      <c r="K230" s="620"/>
    </row>
    <row r="231" spans="1:11" s="637" customFormat="1" ht="24.95" customHeight="1">
      <c r="A231" s="632"/>
      <c r="B231" s="639" t="s">
        <v>3246</v>
      </c>
      <c r="C231" s="640" t="s">
        <v>3247</v>
      </c>
      <c r="D231" s="635">
        <f>+'SP Pas Alim'!F36</f>
        <v>13931.15</v>
      </c>
      <c r="E231" s="635">
        <f>+'SP Pas Alim'!G36</f>
        <v>13931.15</v>
      </c>
      <c r="F231" s="618"/>
      <c r="G231" s="636"/>
      <c r="J231" s="621"/>
      <c r="K231" s="620"/>
    </row>
    <row r="232" spans="1:11" s="637" customFormat="1" ht="24.95" customHeight="1">
      <c r="A232" s="622"/>
      <c r="B232" s="623" t="s">
        <v>3248</v>
      </c>
      <c r="C232" s="624" t="s">
        <v>3249</v>
      </c>
      <c r="D232" s="625">
        <f>+D233+D234+D235</f>
        <v>0</v>
      </c>
      <c r="E232" s="625">
        <f>+E233+E234+E235</f>
        <v>0</v>
      </c>
      <c r="F232" s="618"/>
      <c r="G232" s="636"/>
      <c r="J232" s="621"/>
      <c r="K232" s="620"/>
    </row>
    <row r="233" spans="1:11" s="637" customFormat="1" ht="24.95" customHeight="1">
      <c r="A233" s="632"/>
      <c r="B233" s="639" t="s">
        <v>3250</v>
      </c>
      <c r="C233" s="640" t="s">
        <v>3251</v>
      </c>
      <c r="D233" s="635">
        <f>+'SP Pas Alim'!F39</f>
        <v>0</v>
      </c>
      <c r="E233" s="635">
        <f>+'SP Pas Alim'!G39</f>
        <v>0</v>
      </c>
      <c r="F233" s="618"/>
      <c r="G233" s="636"/>
      <c r="J233" s="621"/>
      <c r="K233" s="620"/>
    </row>
    <row r="234" spans="1:11" s="637" customFormat="1" ht="24.95" customHeight="1">
      <c r="A234" s="632"/>
      <c r="B234" s="639" t="s">
        <v>3252</v>
      </c>
      <c r="C234" s="640" t="s">
        <v>3253</v>
      </c>
      <c r="D234" s="635">
        <f>+'SP Pas Alim'!F41</f>
        <v>0</v>
      </c>
      <c r="E234" s="635">
        <f>+'SP Pas Alim'!G41</f>
        <v>0</v>
      </c>
      <c r="F234" s="618"/>
      <c r="G234" s="636"/>
      <c r="J234" s="621"/>
      <c r="K234" s="620"/>
    </row>
    <row r="235" spans="1:11" s="637" customFormat="1" ht="24.95" customHeight="1">
      <c r="A235" s="632"/>
      <c r="B235" s="639" t="s">
        <v>3254</v>
      </c>
      <c r="C235" s="640" t="s">
        <v>3255</v>
      </c>
      <c r="D235" s="635">
        <f>+'SP Pas Alim'!F43</f>
        <v>0</v>
      </c>
      <c r="E235" s="635">
        <f>+'SP Pas Alim'!G43</f>
        <v>0</v>
      </c>
      <c r="F235" s="618"/>
      <c r="G235" s="636"/>
      <c r="J235" s="621"/>
      <c r="K235" s="620"/>
    </row>
    <row r="236" spans="1:11" s="637" customFormat="1" ht="24.95" customHeight="1">
      <c r="A236" s="632"/>
      <c r="B236" s="696" t="s">
        <v>3256</v>
      </c>
      <c r="C236" s="697" t="s">
        <v>3257</v>
      </c>
      <c r="D236" s="635">
        <f>+'SP Pas Alim'!F45</f>
        <v>0</v>
      </c>
      <c r="E236" s="635">
        <f>+'SP Pas Alim'!G45</f>
        <v>0</v>
      </c>
      <c r="F236" s="618"/>
      <c r="G236" s="636"/>
      <c r="J236" s="621"/>
      <c r="K236" s="620"/>
    </row>
    <row r="237" spans="1:11" s="637" customFormat="1" ht="24.95" customHeight="1" thickBot="1">
      <c r="A237" s="642"/>
      <c r="B237" s="698" t="s">
        <v>3258</v>
      </c>
      <c r="C237" s="699" t="s">
        <v>3259</v>
      </c>
      <c r="D237" s="635">
        <f>+'SP Pas Alim'!F47</f>
        <v>847304.81000006199</v>
      </c>
      <c r="E237" s="635">
        <f>+'SP Pas Alim'!G47</f>
        <v>2874961.4699999094</v>
      </c>
      <c r="F237" s="618"/>
      <c r="G237" s="636"/>
      <c r="J237" s="621"/>
      <c r="K237" s="620"/>
    </row>
    <row r="238" spans="1:11" s="637" customFormat="1" ht="24.95" customHeight="1">
      <c r="A238" s="614"/>
      <c r="B238" s="615" t="s">
        <v>3260</v>
      </c>
      <c r="C238" s="616" t="s">
        <v>3261</v>
      </c>
      <c r="D238" s="649">
        <f>+D239+D240+D248+D257+D263</f>
        <v>88761729.299999997</v>
      </c>
      <c r="E238" s="649">
        <f>+E239+E240+E248+E257+E263</f>
        <v>72214520.24000001</v>
      </c>
      <c r="F238" s="618"/>
      <c r="G238" s="636"/>
      <c r="J238" s="621"/>
      <c r="K238" s="620"/>
    </row>
    <row r="239" spans="1:11" s="637" customFormat="1" ht="24.95" customHeight="1">
      <c r="A239" s="632"/>
      <c r="B239" s="696" t="s">
        <v>3262</v>
      </c>
      <c r="C239" s="697" t="s">
        <v>3263</v>
      </c>
      <c r="D239" s="635">
        <f>+'SP Pas Alim'!F50</f>
        <v>0</v>
      </c>
      <c r="E239" s="635">
        <f>+'SP Pas Alim'!G50</f>
        <v>0</v>
      </c>
      <c r="F239" s="618"/>
      <c r="G239" s="636"/>
      <c r="J239" s="621"/>
      <c r="K239" s="620"/>
    </row>
    <row r="240" spans="1:11" s="637" customFormat="1" ht="24.95" customHeight="1">
      <c r="A240" s="622"/>
      <c r="B240" s="623" t="s">
        <v>3264</v>
      </c>
      <c r="C240" s="624" t="s">
        <v>3265</v>
      </c>
      <c r="D240" s="625">
        <f>SUM(D241:D247)</f>
        <v>47327220.770000003</v>
      </c>
      <c r="E240" s="625">
        <f>SUM(E241:E247)</f>
        <v>50103982.149999999</v>
      </c>
      <c r="F240" s="618"/>
      <c r="G240" s="636"/>
      <c r="J240" s="621"/>
      <c r="K240" s="620"/>
    </row>
    <row r="241" spans="1:11" s="637" customFormat="1" ht="24.95" customHeight="1">
      <c r="A241" s="632"/>
      <c r="B241" s="639" t="s">
        <v>3266</v>
      </c>
      <c r="C241" s="640" t="s">
        <v>3267</v>
      </c>
      <c r="D241" s="635">
        <f>+'SP Pas Alim'!F53</f>
        <v>97531.72</v>
      </c>
      <c r="E241" s="635">
        <f>+'SP Pas Alim'!G53</f>
        <v>92391</v>
      </c>
      <c r="F241" s="618"/>
      <c r="G241" s="636"/>
      <c r="J241" s="621"/>
      <c r="K241" s="620"/>
    </row>
    <row r="242" spans="1:11" s="637" customFormat="1" ht="24.95" customHeight="1">
      <c r="A242" s="632"/>
      <c r="B242" s="639" t="s">
        <v>3268</v>
      </c>
      <c r="C242" s="640" t="s">
        <v>3269</v>
      </c>
      <c r="D242" s="635">
        <f>+'SP Pas Alim'!F55</f>
        <v>0</v>
      </c>
      <c r="E242" s="635">
        <f>+'SP Pas Alim'!G55</f>
        <v>0</v>
      </c>
      <c r="F242" s="618"/>
      <c r="G242" s="636"/>
      <c r="J242" s="621"/>
      <c r="K242" s="620"/>
    </row>
    <row r="243" spans="1:11" s="637" customFormat="1" ht="24.95" customHeight="1">
      <c r="A243" s="632"/>
      <c r="B243" s="639" t="s">
        <v>3270</v>
      </c>
      <c r="C243" s="640" t="s">
        <v>3271</v>
      </c>
      <c r="D243" s="635">
        <f>+'SP Pas Alim'!F57</f>
        <v>0</v>
      </c>
      <c r="E243" s="635">
        <f>+'SP Pas Alim'!G57</f>
        <v>0</v>
      </c>
      <c r="F243" s="618"/>
      <c r="G243" s="636"/>
      <c r="J243" s="621"/>
      <c r="K243" s="620"/>
    </row>
    <row r="244" spans="1:11" s="637" customFormat="1" ht="24.95" customHeight="1">
      <c r="A244" s="632"/>
      <c r="B244" s="639" t="s">
        <v>3272</v>
      </c>
      <c r="C244" s="640" t="s">
        <v>3273</v>
      </c>
      <c r="D244" s="635">
        <f>+'SP Pas Alim'!F59</f>
        <v>0</v>
      </c>
      <c r="E244" s="635">
        <f>+'SP Pas Alim'!G59</f>
        <v>0</v>
      </c>
      <c r="F244" s="618"/>
      <c r="G244" s="636"/>
      <c r="J244" s="621"/>
      <c r="K244" s="620"/>
    </row>
    <row r="245" spans="1:11" s="637" customFormat="1" ht="24.95" customHeight="1">
      <c r="A245" s="632"/>
      <c r="B245" s="700" t="s">
        <v>3274</v>
      </c>
      <c r="C245" s="701" t="s">
        <v>3275</v>
      </c>
      <c r="D245" s="635">
        <f>+'SP Pas Alim'!F61</f>
        <v>46299630.600000001</v>
      </c>
      <c r="E245" s="635">
        <f>+'SP Pas Alim'!G61</f>
        <v>48835650.82</v>
      </c>
      <c r="F245" s="618"/>
      <c r="G245" s="636"/>
      <c r="J245" s="621"/>
      <c r="K245" s="620"/>
    </row>
    <row r="246" spans="1:11" s="637" customFormat="1" ht="24.95" customHeight="1">
      <c r="A246" s="632"/>
      <c r="B246" s="700" t="s">
        <v>3276</v>
      </c>
      <c r="C246" s="701" t="s">
        <v>3277</v>
      </c>
      <c r="D246" s="635">
        <f>+'SP Pas Alim'!F63</f>
        <v>930058.45</v>
      </c>
      <c r="E246" s="635">
        <f>+'SP Pas Alim'!G63</f>
        <v>1175940.33</v>
      </c>
      <c r="F246" s="618"/>
      <c r="G246" s="636"/>
      <c r="J246" s="621"/>
      <c r="K246" s="620"/>
    </row>
    <row r="247" spans="1:11" s="637" customFormat="1" ht="24.95" customHeight="1">
      <c r="A247" s="632"/>
      <c r="B247" s="700" t="s">
        <v>3278</v>
      </c>
      <c r="C247" s="701" t="s">
        <v>3279</v>
      </c>
      <c r="D247" s="635">
        <f>+'SP Pas Alim'!F65+'SP Pas Alim'!F66+'SP Pas Alim'!F67</f>
        <v>0</v>
      </c>
      <c r="E247" s="635">
        <f>+'SP Pas Alim'!G65+'SP Pas Alim'!G66+'SP Pas Alim'!G67</f>
        <v>0</v>
      </c>
      <c r="F247" s="618"/>
      <c r="G247" s="636"/>
      <c r="J247" s="621"/>
      <c r="K247" s="620"/>
    </row>
    <row r="248" spans="1:11" s="637" customFormat="1" ht="24.95" customHeight="1">
      <c r="A248" s="622"/>
      <c r="B248" s="623" t="s">
        <v>3280</v>
      </c>
      <c r="C248" s="624" t="s">
        <v>3281</v>
      </c>
      <c r="D248" s="625">
        <f>SUM(D249:D256)</f>
        <v>0</v>
      </c>
      <c r="E248" s="625">
        <f>SUM(E249:E256)</f>
        <v>0</v>
      </c>
      <c r="F248" s="618"/>
      <c r="G248" s="636"/>
      <c r="J248" s="621"/>
      <c r="K248" s="620"/>
    </row>
    <row r="249" spans="1:11" s="637" customFormat="1" ht="24.95" customHeight="1">
      <c r="A249" s="632"/>
      <c r="B249" s="639" t="s">
        <v>3282</v>
      </c>
      <c r="C249" s="640" t="s">
        <v>3283</v>
      </c>
      <c r="D249" s="635">
        <f>+'SP Pas Alim'!F70</f>
        <v>0</v>
      </c>
      <c r="E249" s="635">
        <f>+'SP Pas Alim'!G70</f>
        <v>0</v>
      </c>
      <c r="F249" s="618"/>
      <c r="G249" s="636"/>
      <c r="J249" s="621"/>
      <c r="K249" s="620"/>
    </row>
    <row r="250" spans="1:11" s="637" customFormat="1" ht="24.95" customHeight="1">
      <c r="A250" s="632"/>
      <c r="B250" s="639" t="s">
        <v>3284</v>
      </c>
      <c r="C250" s="640" t="s">
        <v>3285</v>
      </c>
      <c r="D250" s="635">
        <f>+'SP Pas Alim'!F72</f>
        <v>0</v>
      </c>
      <c r="E250" s="635">
        <f>+'SP Pas Alim'!G72</f>
        <v>0</v>
      </c>
      <c r="F250" s="618"/>
      <c r="G250" s="636"/>
      <c r="J250" s="621"/>
      <c r="K250" s="620"/>
    </row>
    <row r="251" spans="1:11" s="637" customFormat="1" ht="24.95" customHeight="1">
      <c r="A251" s="632"/>
      <c r="B251" s="639" t="s">
        <v>3286</v>
      </c>
      <c r="C251" s="640" t="s">
        <v>3287</v>
      </c>
      <c r="D251" s="635">
        <f>+'SP Pas Alim'!F74</f>
        <v>0</v>
      </c>
      <c r="E251" s="635">
        <f>+'SP Pas Alim'!G74</f>
        <v>0</v>
      </c>
      <c r="F251" s="618"/>
      <c r="G251" s="636"/>
      <c r="J251" s="621"/>
      <c r="K251" s="620"/>
    </row>
    <row r="252" spans="1:11" s="637" customFormat="1" ht="24.95" customHeight="1">
      <c r="A252" s="632"/>
      <c r="B252" s="639" t="s">
        <v>3288</v>
      </c>
      <c r="C252" s="640" t="s">
        <v>3289</v>
      </c>
      <c r="D252" s="635">
        <f>+'SP Pas Alim'!F76</f>
        <v>0</v>
      </c>
      <c r="E252" s="635">
        <f>+'SP Pas Alim'!G76</f>
        <v>0</v>
      </c>
      <c r="F252" s="618"/>
      <c r="G252" s="636"/>
      <c r="J252" s="621"/>
      <c r="K252" s="620"/>
    </row>
    <row r="253" spans="1:11" s="637" customFormat="1" ht="24.95" customHeight="1">
      <c r="A253" s="632"/>
      <c r="B253" s="639" t="s">
        <v>3290</v>
      </c>
      <c r="C253" s="640" t="s">
        <v>3291</v>
      </c>
      <c r="D253" s="635">
        <f>+'SP Pas Alim'!F78</f>
        <v>0</v>
      </c>
      <c r="E253" s="635">
        <f>+'SP Pas Alim'!G78</f>
        <v>0</v>
      </c>
      <c r="F253" s="618"/>
      <c r="G253" s="636"/>
      <c r="J253" s="621"/>
      <c r="K253" s="620"/>
    </row>
    <row r="254" spans="1:11" s="637" customFormat="1" ht="24.95" customHeight="1">
      <c r="A254" s="632"/>
      <c r="B254" s="639" t="s">
        <v>3292</v>
      </c>
      <c r="C254" s="640" t="s">
        <v>3293</v>
      </c>
      <c r="D254" s="635">
        <f>+'SP Pas Alim'!F80</f>
        <v>0</v>
      </c>
      <c r="E254" s="635">
        <f>+'SP Pas Alim'!G80</f>
        <v>0</v>
      </c>
      <c r="F254" s="618"/>
      <c r="G254" s="636"/>
      <c r="J254" s="621"/>
      <c r="K254" s="620"/>
    </row>
    <row r="255" spans="1:11" s="637" customFormat="1" ht="24.95" customHeight="1">
      <c r="A255" s="632"/>
      <c r="B255" s="639" t="s">
        <v>3294</v>
      </c>
      <c r="C255" s="640" t="s">
        <v>3295</v>
      </c>
      <c r="D255" s="635">
        <f>+'SP Pas Alim'!F82</f>
        <v>0</v>
      </c>
      <c r="E255" s="635">
        <f>+'SP Pas Alim'!G82</f>
        <v>0</v>
      </c>
      <c r="F255" s="618"/>
      <c r="G255" s="636"/>
      <c r="J255" s="621"/>
      <c r="K255" s="620"/>
    </row>
    <row r="256" spans="1:11" s="637" customFormat="1" ht="33.75" customHeight="1">
      <c r="A256" s="632"/>
      <c r="B256" s="702" t="s">
        <v>3296</v>
      </c>
      <c r="C256" s="703" t="s">
        <v>3297</v>
      </c>
      <c r="D256" s="635">
        <f>+'SP Pas Alim'!F84</f>
        <v>0</v>
      </c>
      <c r="E256" s="635">
        <f>+'SP Pas Alim'!G84</f>
        <v>0</v>
      </c>
      <c r="F256" s="618"/>
      <c r="G256" s="636"/>
      <c r="J256" s="621"/>
      <c r="K256" s="620"/>
    </row>
    <row r="257" spans="1:11" s="637" customFormat="1" ht="24.95" customHeight="1">
      <c r="A257" s="622"/>
      <c r="B257" s="623" t="s">
        <v>3298</v>
      </c>
      <c r="C257" s="624" t="s">
        <v>3299</v>
      </c>
      <c r="D257" s="625">
        <f>SUM(D258:D262)</f>
        <v>38325656.149999999</v>
      </c>
      <c r="E257" s="625">
        <f>SUM(E258:E262)</f>
        <v>19161980.469999999</v>
      </c>
      <c r="F257" s="618"/>
      <c r="G257" s="636"/>
      <c r="J257" s="621"/>
      <c r="K257" s="620"/>
    </row>
    <row r="258" spans="1:11" s="665" customFormat="1" ht="24.95" customHeight="1">
      <c r="A258" s="632"/>
      <c r="B258" s="700" t="s">
        <v>3300</v>
      </c>
      <c r="C258" s="701" t="s">
        <v>3301</v>
      </c>
      <c r="D258" s="635">
        <f>+'SP Pas Alim'!F87</f>
        <v>5139033.76</v>
      </c>
      <c r="E258" s="635">
        <f>+'SP Pas Alim'!G87</f>
        <v>16003531.369999999</v>
      </c>
      <c r="F258" s="618"/>
      <c r="G258" s="636"/>
      <c r="J258" s="621"/>
      <c r="K258" s="620"/>
    </row>
    <row r="259" spans="1:11" s="637" customFormat="1" ht="24.95" customHeight="1">
      <c r="A259" s="632"/>
      <c r="B259" s="639" t="s">
        <v>3302</v>
      </c>
      <c r="C259" s="640" t="s">
        <v>3303</v>
      </c>
      <c r="D259" s="635">
        <f>+'SP Pas Alim'!F89</f>
        <v>0</v>
      </c>
      <c r="E259" s="635">
        <f>+'SP Pas Alim'!G89</f>
        <v>0</v>
      </c>
      <c r="F259" s="618"/>
      <c r="G259" s="636"/>
      <c r="J259" s="621"/>
      <c r="K259" s="620"/>
    </row>
    <row r="260" spans="1:11" s="637" customFormat="1" ht="24.95" customHeight="1">
      <c r="A260" s="632"/>
      <c r="B260" s="639" t="s">
        <v>3304</v>
      </c>
      <c r="C260" s="640" t="s">
        <v>3305</v>
      </c>
      <c r="D260" s="635">
        <f>+'SP Pas Alim'!F91</f>
        <v>32897080.34</v>
      </c>
      <c r="E260" s="635">
        <f>+'SP Pas Alim'!G91</f>
        <v>2975475.63</v>
      </c>
      <c r="F260" s="618"/>
      <c r="G260" s="636"/>
      <c r="J260" s="621"/>
      <c r="K260" s="620"/>
    </row>
    <row r="261" spans="1:11" s="637" customFormat="1" ht="24.95" customHeight="1">
      <c r="A261" s="632"/>
      <c r="B261" s="639" t="s">
        <v>3306</v>
      </c>
      <c r="C261" s="640" t="s">
        <v>3307</v>
      </c>
      <c r="D261" s="635">
        <f>+'SP Pas Alim'!F93</f>
        <v>0</v>
      </c>
      <c r="E261" s="635">
        <f>+'SP Pas Alim'!G93</f>
        <v>0</v>
      </c>
      <c r="F261" s="618"/>
      <c r="G261" s="636"/>
      <c r="J261" s="621"/>
      <c r="K261" s="620"/>
    </row>
    <row r="262" spans="1:11" s="637" customFormat="1" ht="24.95" customHeight="1">
      <c r="A262" s="632"/>
      <c r="B262" s="639" t="s">
        <v>3308</v>
      </c>
      <c r="C262" s="640" t="s">
        <v>3309</v>
      </c>
      <c r="D262" s="635">
        <f>+'SP Pas Alim'!F95+'SP Pas Alim'!F96</f>
        <v>289542.05</v>
      </c>
      <c r="E262" s="635">
        <f>+'SP Pas Alim'!G95+'SP Pas Alim'!G96</f>
        <v>182973.47</v>
      </c>
      <c r="F262" s="618"/>
      <c r="G262" s="636"/>
      <c r="J262" s="621"/>
      <c r="K262" s="620"/>
    </row>
    <row r="263" spans="1:11" s="637" customFormat="1" ht="24.95" customHeight="1">
      <c r="A263" s="622"/>
      <c r="B263" s="623" t="s">
        <v>3310</v>
      </c>
      <c r="C263" s="624" t="s">
        <v>3311</v>
      </c>
      <c r="D263" s="625">
        <f>+D264+D265+D269+D270</f>
        <v>3108852.38</v>
      </c>
      <c r="E263" s="625">
        <f>+E264+E265+E269+E270</f>
        <v>2948557.6199999996</v>
      </c>
      <c r="F263" s="618"/>
      <c r="G263" s="636"/>
      <c r="J263" s="621"/>
      <c r="K263" s="620"/>
    </row>
    <row r="264" spans="1:11" s="637" customFormat="1" ht="24.95" customHeight="1">
      <c r="A264" s="632"/>
      <c r="B264" s="639" t="s">
        <v>3312</v>
      </c>
      <c r="C264" s="640" t="s">
        <v>3313</v>
      </c>
      <c r="D264" s="635">
        <f>+'SP Pas Alim'!F99</f>
        <v>0</v>
      </c>
      <c r="E264" s="635">
        <f>+'SP Pas Alim'!G99</f>
        <v>0</v>
      </c>
      <c r="F264" s="618"/>
      <c r="G264" s="636"/>
      <c r="J264" s="621"/>
      <c r="K264" s="620"/>
    </row>
    <row r="265" spans="1:11" s="637" customFormat="1" ht="24.95" customHeight="1">
      <c r="A265" s="638"/>
      <c r="B265" s="628" t="s">
        <v>3314</v>
      </c>
      <c r="C265" s="629" t="s">
        <v>3315</v>
      </c>
      <c r="D265" s="630">
        <f>+D266+D267+D268</f>
        <v>2332788.5499999998</v>
      </c>
      <c r="E265" s="630">
        <f>+E266+E267+E268</f>
        <v>2419994.2799999998</v>
      </c>
      <c r="F265" s="618"/>
      <c r="G265" s="636"/>
      <c r="J265" s="621"/>
      <c r="K265" s="620"/>
    </row>
    <row r="266" spans="1:11" s="637" customFormat="1" ht="24.95" customHeight="1">
      <c r="A266" s="632"/>
      <c r="B266" s="633" t="s">
        <v>3316</v>
      </c>
      <c r="C266" s="634" t="s">
        <v>3317</v>
      </c>
      <c r="D266" s="635">
        <f>+'SP Pas Alim'!F102</f>
        <v>2332788.5499999998</v>
      </c>
      <c r="E266" s="635">
        <f>+'SP Pas Alim'!G102</f>
        <v>2419994.2799999998</v>
      </c>
      <c r="F266" s="618"/>
      <c r="G266" s="636"/>
      <c r="J266" s="621"/>
      <c r="K266" s="620"/>
    </row>
    <row r="267" spans="1:11" s="637" customFormat="1" ht="24.95" customHeight="1">
      <c r="A267" s="632"/>
      <c r="B267" s="633" t="s">
        <v>3318</v>
      </c>
      <c r="C267" s="634" t="s">
        <v>3319</v>
      </c>
      <c r="D267" s="635">
        <f>+'SP Pas Alim'!F104</f>
        <v>0</v>
      </c>
      <c r="E267" s="635">
        <f>+'SP Pas Alim'!G104</f>
        <v>0</v>
      </c>
      <c r="F267" s="618"/>
      <c r="G267" s="636"/>
      <c r="J267" s="621"/>
      <c r="K267" s="620"/>
    </row>
    <row r="268" spans="1:11" s="637" customFormat="1" ht="24.95" customHeight="1">
      <c r="A268" s="632"/>
      <c r="B268" s="633" t="s">
        <v>3320</v>
      </c>
      <c r="C268" s="634" t="s">
        <v>3321</v>
      </c>
      <c r="D268" s="635">
        <f>+'SP Pas Alim'!F106</f>
        <v>0</v>
      </c>
      <c r="E268" s="635">
        <f>+'SP Pas Alim'!G106</f>
        <v>0</v>
      </c>
      <c r="F268" s="618"/>
      <c r="G268" s="636"/>
      <c r="J268" s="621"/>
      <c r="K268" s="620"/>
    </row>
    <row r="269" spans="1:11" s="637" customFormat="1" ht="24.95" customHeight="1">
      <c r="A269" s="693"/>
      <c r="B269" s="704" t="s">
        <v>3322</v>
      </c>
      <c r="C269" s="705" t="s">
        <v>3323</v>
      </c>
      <c r="D269" s="635">
        <f>+'SP Pas Alim'!F108+'SP Pas Alim'!F109</f>
        <v>525113.68999999994</v>
      </c>
      <c r="E269" s="635">
        <f>+'SP Pas Alim'!G108+'SP Pas Alim'!G109</f>
        <v>525113.68999999994</v>
      </c>
      <c r="F269" s="618"/>
      <c r="G269" s="636"/>
      <c r="J269" s="621"/>
      <c r="K269" s="620"/>
    </row>
    <row r="270" spans="1:11" s="665" customFormat="1" ht="24.95" customHeight="1">
      <c r="A270" s="706"/>
      <c r="B270" s="707" t="s">
        <v>3324</v>
      </c>
      <c r="C270" s="708" t="s">
        <v>3325</v>
      </c>
      <c r="D270" s="635">
        <f>+'SP Pas Alim'!F111</f>
        <v>250950.14</v>
      </c>
      <c r="E270" s="635">
        <f>+'SP Pas Alim'!G111</f>
        <v>3449.65</v>
      </c>
      <c r="F270" s="618"/>
      <c r="G270" s="636"/>
      <c r="J270" s="621"/>
      <c r="K270" s="620"/>
    </row>
    <row r="271" spans="1:11" s="637" customFormat="1" ht="24.95" customHeight="1">
      <c r="A271" s="614"/>
      <c r="B271" s="709" t="s">
        <v>3326</v>
      </c>
      <c r="C271" s="689" t="s">
        <v>3327</v>
      </c>
      <c r="D271" s="690">
        <f>+D272+D273+D274</f>
        <v>0</v>
      </c>
      <c r="E271" s="690">
        <f>+E272+E273+E274</f>
        <v>0</v>
      </c>
      <c r="F271" s="618"/>
      <c r="G271" s="636"/>
      <c r="J271" s="621"/>
      <c r="K271" s="620"/>
    </row>
    <row r="272" spans="1:11" s="637" customFormat="1" ht="24.95" customHeight="1">
      <c r="A272" s="632"/>
      <c r="B272" s="696" t="s">
        <v>3328</v>
      </c>
      <c r="C272" s="697" t="s">
        <v>3329</v>
      </c>
      <c r="D272" s="635">
        <f>+'SP Pas Alim'!F114</f>
        <v>0</v>
      </c>
      <c r="E272" s="635">
        <f>+'SP Pas Alim'!G114</f>
        <v>0</v>
      </c>
      <c r="F272" s="618"/>
      <c r="G272" s="636"/>
      <c r="J272" s="621"/>
      <c r="K272" s="620"/>
    </row>
    <row r="273" spans="1:11" s="637" customFormat="1" ht="24.95" customHeight="1">
      <c r="A273" s="632"/>
      <c r="B273" s="696" t="s">
        <v>3330</v>
      </c>
      <c r="C273" s="697" t="s">
        <v>3331</v>
      </c>
      <c r="D273" s="635">
        <f>+'SP Pas Alim'!F116</f>
        <v>0</v>
      </c>
      <c r="E273" s="635">
        <f>+'SP Pas Alim'!G116</f>
        <v>0</v>
      </c>
      <c r="F273" s="618"/>
      <c r="G273" s="636"/>
      <c r="J273" s="621"/>
      <c r="K273" s="620"/>
    </row>
    <row r="274" spans="1:11" s="637" customFormat="1" ht="24.95" customHeight="1" thickBot="1">
      <c r="A274" s="642"/>
      <c r="B274" s="698" t="s">
        <v>3332</v>
      </c>
      <c r="C274" s="699" t="s">
        <v>3333</v>
      </c>
      <c r="D274" s="635">
        <f>+'SP Pas Alim'!F118</f>
        <v>0</v>
      </c>
      <c r="E274" s="635">
        <f>+'SP Pas Alim'!G118</f>
        <v>0</v>
      </c>
      <c r="F274" s="618"/>
      <c r="G274" s="636"/>
      <c r="J274" s="621"/>
      <c r="K274" s="620"/>
    </row>
    <row r="275" spans="1:11" s="637" customFormat="1" ht="24.95" customHeight="1">
      <c r="A275" s="710"/>
      <c r="B275" s="711" t="s">
        <v>3334</v>
      </c>
      <c r="C275" s="616" t="s">
        <v>3335</v>
      </c>
      <c r="D275" s="649">
        <f>+D276+D277+D283+D294+D295+D313+D317+D324+D325+D326+D327</f>
        <v>134887288.16</v>
      </c>
      <c r="E275" s="649">
        <f>+E276+E277+E283+E294+E295+E313+E317+E324+E325+E326+E327</f>
        <v>170147266.63359997</v>
      </c>
      <c r="F275" s="618"/>
      <c r="G275" s="636"/>
      <c r="J275" s="621"/>
      <c r="K275" s="620"/>
    </row>
    <row r="276" spans="1:11" s="637" customFormat="1" ht="24.95" customHeight="1">
      <c r="A276" s="632"/>
      <c r="B276" s="696" t="s">
        <v>3336</v>
      </c>
      <c r="C276" s="697" t="s">
        <v>3337</v>
      </c>
      <c r="D276" s="635">
        <f>+'SP Pas Alim'!F121</f>
        <v>0</v>
      </c>
      <c r="E276" s="635">
        <f>+'SP Pas Alim'!G121</f>
        <v>0</v>
      </c>
      <c r="F276" s="618"/>
      <c r="G276" s="636"/>
      <c r="J276" s="621"/>
      <c r="K276" s="620"/>
    </row>
    <row r="277" spans="1:11" s="637" customFormat="1" ht="24.95" customHeight="1">
      <c r="A277" s="632"/>
      <c r="B277" s="696" t="s">
        <v>3338</v>
      </c>
      <c r="C277" s="697" t="s">
        <v>3339</v>
      </c>
      <c r="D277" s="635">
        <f>SUM(D278:D282)</f>
        <v>7746.84</v>
      </c>
      <c r="E277" s="635">
        <f>SUM(E278:E282)</f>
        <v>7746.84</v>
      </c>
      <c r="F277" s="757" t="s">
        <v>1835</v>
      </c>
      <c r="G277" s="636"/>
      <c r="J277" s="621"/>
      <c r="K277" s="620"/>
    </row>
    <row r="278" spans="1:11" s="637" customFormat="1" ht="24.95" customHeight="1">
      <c r="A278" s="712" t="s">
        <v>1293</v>
      </c>
      <c r="B278" s="700" t="s">
        <v>3340</v>
      </c>
      <c r="C278" s="701" t="s">
        <v>3341</v>
      </c>
      <c r="D278" s="635">
        <f>+'SP Pas Alim'!F124</f>
        <v>0</v>
      </c>
      <c r="E278" s="635">
        <f>+'SP Pas Alim'!G124</f>
        <v>0</v>
      </c>
      <c r="F278" s="618"/>
      <c r="G278" s="636"/>
      <c r="J278" s="621"/>
      <c r="K278" s="620"/>
    </row>
    <row r="279" spans="1:11" s="637" customFormat="1" ht="24.95" customHeight="1">
      <c r="A279" s="712"/>
      <c r="B279" s="700" t="s">
        <v>3342</v>
      </c>
      <c r="C279" s="701" t="s">
        <v>3343</v>
      </c>
      <c r="D279" s="635">
        <f>+'SP Pas Alim'!F126</f>
        <v>0</v>
      </c>
      <c r="E279" s="635">
        <f>+'SP Pas Alim'!G126</f>
        <v>0</v>
      </c>
      <c r="F279" s="618"/>
      <c r="G279" s="636"/>
      <c r="J279" s="621"/>
      <c r="K279" s="620"/>
    </row>
    <row r="280" spans="1:11" s="637" customFormat="1" ht="24.95" customHeight="1">
      <c r="A280" s="682" t="s">
        <v>1297</v>
      </c>
      <c r="B280" s="700" t="s">
        <v>3344</v>
      </c>
      <c r="C280" s="701" t="s">
        <v>3345</v>
      </c>
      <c r="D280" s="635">
        <f>+'SP Pas Alim'!F128</f>
        <v>0</v>
      </c>
      <c r="E280" s="635">
        <f>+'SP Pas Alim'!G128</f>
        <v>0</v>
      </c>
      <c r="F280" s="618"/>
      <c r="G280" s="636"/>
      <c r="J280" s="621"/>
      <c r="K280" s="620"/>
    </row>
    <row r="281" spans="1:11" s="637" customFormat="1" ht="24.95" customHeight="1">
      <c r="A281" s="682" t="s">
        <v>1297</v>
      </c>
      <c r="B281" s="700" t="s">
        <v>3346</v>
      </c>
      <c r="C281" s="701" t="s">
        <v>3347</v>
      </c>
      <c r="D281" s="635">
        <f>+'SP Pas Alim'!F130</f>
        <v>0</v>
      </c>
      <c r="E281" s="635">
        <f>+'SP Pas Alim'!G130</f>
        <v>0</v>
      </c>
      <c r="F281" s="618"/>
      <c r="G281" s="636"/>
      <c r="J281" s="621"/>
      <c r="K281" s="620"/>
    </row>
    <row r="282" spans="1:11" s="637" customFormat="1" ht="24.95" customHeight="1">
      <c r="A282" s="682" t="s">
        <v>1297</v>
      </c>
      <c r="B282" s="700" t="s">
        <v>3348</v>
      </c>
      <c r="C282" s="701" t="s">
        <v>3349</v>
      </c>
      <c r="D282" s="635">
        <f>+'SP Pas Alim'!F132+'SP Pas Alim'!F133+'SP Pas Alim'!F134+'SP Pas Alim'!F135</f>
        <v>7746.84</v>
      </c>
      <c r="E282" s="635">
        <f>+'SP Pas Alim'!G132+'SP Pas Alim'!G133+'SP Pas Alim'!G134+'SP Pas Alim'!G135</f>
        <v>7746.84</v>
      </c>
      <c r="F282" s="618"/>
      <c r="G282" s="636"/>
      <c r="J282" s="621"/>
      <c r="K282" s="620"/>
    </row>
    <row r="283" spans="1:11" s="637" customFormat="1" ht="24.95" customHeight="1">
      <c r="A283" s="632"/>
      <c r="B283" s="696" t="s">
        <v>3350</v>
      </c>
      <c r="C283" s="697" t="s">
        <v>3351</v>
      </c>
      <c r="D283" s="635">
        <f>SUM(D284:D293)</f>
        <v>2020052.41</v>
      </c>
      <c r="E283" s="635">
        <f>SUM(E284:E293)</f>
        <v>2020588.41</v>
      </c>
      <c r="F283" s="757" t="s">
        <v>1835</v>
      </c>
      <c r="G283" s="636"/>
      <c r="J283" s="621"/>
      <c r="K283" s="620"/>
    </row>
    <row r="284" spans="1:11" s="665" customFormat="1" ht="24.95" customHeight="1">
      <c r="A284" s="682" t="s">
        <v>3077</v>
      </c>
      <c r="B284" s="639" t="s">
        <v>3352</v>
      </c>
      <c r="C284" s="640" t="s">
        <v>3353</v>
      </c>
      <c r="D284" s="635">
        <f>+'SP Pas Alim'!F138</f>
        <v>0</v>
      </c>
      <c r="E284" s="635">
        <f>+'SP Pas Alim'!G138</f>
        <v>0</v>
      </c>
      <c r="F284" s="618"/>
      <c r="G284" s="636"/>
      <c r="J284" s="621"/>
      <c r="K284" s="620"/>
    </row>
    <row r="285" spans="1:11" s="665" customFormat="1" ht="24.95" customHeight="1">
      <c r="A285" s="682"/>
      <c r="B285" s="639" t="s">
        <v>3354</v>
      </c>
      <c r="C285" s="640" t="s">
        <v>3355</v>
      </c>
      <c r="D285" s="635">
        <f>+'SP Pas Alim'!F140</f>
        <v>0</v>
      </c>
      <c r="E285" s="635">
        <f>+'SP Pas Alim'!G140</f>
        <v>0</v>
      </c>
      <c r="F285" s="618"/>
      <c r="G285" s="636"/>
      <c r="J285" s="621"/>
      <c r="K285" s="620"/>
    </row>
    <row r="286" spans="1:11" s="637" customFormat="1" ht="24.95" customHeight="1">
      <c r="A286" s="682" t="s">
        <v>1248</v>
      </c>
      <c r="B286" s="639" t="s">
        <v>3356</v>
      </c>
      <c r="C286" s="640" t="s">
        <v>3357</v>
      </c>
      <c r="D286" s="635">
        <f>+'SP Pas Alim'!F142</f>
        <v>0</v>
      </c>
      <c r="E286" s="635">
        <f>+'SP Pas Alim'!G142</f>
        <v>0</v>
      </c>
      <c r="F286" s="618"/>
      <c r="G286" s="636"/>
      <c r="J286" s="621"/>
      <c r="K286" s="620"/>
    </row>
    <row r="287" spans="1:11" s="637" customFormat="1" ht="24.95" customHeight="1">
      <c r="A287" s="712" t="s">
        <v>3077</v>
      </c>
      <c r="B287" s="700" t="s">
        <v>3358</v>
      </c>
      <c r="C287" s="701" t="s">
        <v>3359</v>
      </c>
      <c r="D287" s="635">
        <f>+'SP Pas Alim'!F144</f>
        <v>0</v>
      </c>
      <c r="E287" s="635">
        <f>+'SP Pas Alim'!G144</f>
        <v>0</v>
      </c>
      <c r="F287" s="618"/>
      <c r="G287" s="636"/>
      <c r="J287" s="621"/>
      <c r="K287" s="620"/>
    </row>
    <row r="288" spans="1:11" s="665" customFormat="1" ht="24.95" customHeight="1">
      <c r="A288" s="662" t="s">
        <v>3077</v>
      </c>
      <c r="B288" s="713" t="s">
        <v>3360</v>
      </c>
      <c r="C288" s="714" t="s">
        <v>3361</v>
      </c>
      <c r="D288" s="635">
        <f>+'SP Pas Alim'!F146</f>
        <v>0</v>
      </c>
      <c r="E288" s="635">
        <f>+'SP Pas Alim'!G146</f>
        <v>0</v>
      </c>
      <c r="F288" s="618"/>
      <c r="G288" s="636"/>
      <c r="J288" s="621"/>
      <c r="K288" s="620"/>
    </row>
    <row r="289" spans="1:11" s="637" customFormat="1" ht="24.95" customHeight="1">
      <c r="A289" s="662" t="s">
        <v>3077</v>
      </c>
      <c r="B289" s="713" t="s">
        <v>3362</v>
      </c>
      <c r="C289" s="714" t="s">
        <v>3363</v>
      </c>
      <c r="D289" s="635">
        <f>+'SP Pas Alim'!F148</f>
        <v>0</v>
      </c>
      <c r="E289" s="635">
        <f>+'SP Pas Alim'!G148</f>
        <v>0</v>
      </c>
      <c r="F289" s="618"/>
      <c r="G289" s="636"/>
      <c r="J289" s="621"/>
      <c r="K289" s="620"/>
    </row>
    <row r="290" spans="1:11" s="637" customFormat="1" ht="24.95" customHeight="1">
      <c r="A290" s="662" t="s">
        <v>3077</v>
      </c>
      <c r="B290" s="713" t="s">
        <v>3364</v>
      </c>
      <c r="C290" s="714" t="s">
        <v>3365</v>
      </c>
      <c r="D290" s="635">
        <f>+'SP Pas Alim'!F150</f>
        <v>0</v>
      </c>
      <c r="E290" s="635">
        <f>+'SP Pas Alim'!G150</f>
        <v>0</v>
      </c>
      <c r="F290" s="618"/>
      <c r="G290" s="636"/>
      <c r="J290" s="621"/>
      <c r="K290" s="620"/>
    </row>
    <row r="291" spans="1:11" s="637" customFormat="1" ht="24.95" customHeight="1">
      <c r="A291" s="715"/>
      <c r="B291" s="716" t="s">
        <v>3366</v>
      </c>
      <c r="C291" s="717" t="s">
        <v>3367</v>
      </c>
      <c r="D291" s="635">
        <f>+'SP Pas Alim'!F152</f>
        <v>0</v>
      </c>
      <c r="E291" s="635">
        <f>+'SP Pas Alim'!G152</f>
        <v>0</v>
      </c>
      <c r="F291" s="618"/>
      <c r="G291" s="636"/>
      <c r="J291" s="621"/>
      <c r="K291" s="620"/>
    </row>
    <row r="292" spans="1:11" s="665" customFormat="1" ht="24.95" customHeight="1">
      <c r="A292" s="718" t="s">
        <v>3077</v>
      </c>
      <c r="B292" s="713" t="s">
        <v>3368</v>
      </c>
      <c r="C292" s="714" t="s">
        <v>3369</v>
      </c>
      <c r="D292" s="635">
        <f>+'SP Pas Alim'!F154</f>
        <v>0</v>
      </c>
      <c r="E292" s="635">
        <f>+'SP Pas Alim'!G154</f>
        <v>0</v>
      </c>
      <c r="F292" s="618"/>
      <c r="G292" s="636"/>
      <c r="J292" s="621"/>
      <c r="K292" s="620"/>
    </row>
    <row r="293" spans="1:11" s="665" customFormat="1" ht="24.95" customHeight="1">
      <c r="A293" s="718"/>
      <c r="B293" s="713" t="s">
        <v>3370</v>
      </c>
      <c r="C293" s="714" t="s">
        <v>3371</v>
      </c>
      <c r="D293" s="635">
        <f>+'SP Pas Alim'!F156+'SP Pas Alim'!F157+'SP Pas Alim'!F158+'SP Pas Alim'!F159+'SP Pas Alim'!F160</f>
        <v>2020052.41</v>
      </c>
      <c r="E293" s="635">
        <f>+'SP Pas Alim'!G156+'SP Pas Alim'!G157+'SP Pas Alim'!G158+'SP Pas Alim'!G159+'SP Pas Alim'!G160</f>
        <v>2020588.41</v>
      </c>
      <c r="F293" s="618"/>
      <c r="G293" s="636"/>
      <c r="J293" s="621"/>
      <c r="K293" s="620"/>
    </row>
    <row r="294" spans="1:11" s="637" customFormat="1" ht="24.95" customHeight="1">
      <c r="A294" s="632"/>
      <c r="B294" s="696" t="s">
        <v>3372</v>
      </c>
      <c r="C294" s="697" t="s">
        <v>3373</v>
      </c>
      <c r="D294" s="635">
        <f>+'SP Pas Alim'!F162+'SP Pas Alim'!F163+'SP Pas Alim'!F164+'SP Pas Alim'!F165</f>
        <v>0</v>
      </c>
      <c r="E294" s="635">
        <f>+'SP Pas Alim'!G162+'SP Pas Alim'!G163+'SP Pas Alim'!G164+'SP Pas Alim'!G165</f>
        <v>0</v>
      </c>
      <c r="F294" s="618"/>
      <c r="G294" s="636"/>
      <c r="J294" s="621"/>
      <c r="K294" s="620"/>
    </row>
    <row r="295" spans="1:11" s="637" customFormat="1" ht="24.95" customHeight="1">
      <c r="A295" s="632"/>
      <c r="B295" s="696" t="s">
        <v>3374</v>
      </c>
      <c r="C295" s="697" t="s">
        <v>3375</v>
      </c>
      <c r="D295" s="635">
        <f>+D296+D306+D307</f>
        <v>56818258.660000004</v>
      </c>
      <c r="E295" s="635">
        <f>+E296+E306+E307</f>
        <v>71858169.340000004</v>
      </c>
      <c r="F295" s="757" t="s">
        <v>1835</v>
      </c>
      <c r="G295" s="636"/>
      <c r="J295" s="621"/>
      <c r="K295" s="620"/>
    </row>
    <row r="296" spans="1:11" s="637" customFormat="1" ht="24.95" customHeight="1">
      <c r="A296" s="632"/>
      <c r="B296" s="639" t="s">
        <v>3376</v>
      </c>
      <c r="C296" s="640" t="s">
        <v>3377</v>
      </c>
      <c r="D296" s="635">
        <f>SUM(D297:D305)</f>
        <v>56631773.970000006</v>
      </c>
      <c r="E296" s="635">
        <f>SUM(E297:E305)</f>
        <v>71600958.189999998</v>
      </c>
      <c r="F296" s="757" t="s">
        <v>1835</v>
      </c>
      <c r="G296" s="636"/>
      <c r="J296" s="621"/>
      <c r="K296" s="620"/>
    </row>
    <row r="297" spans="1:11" s="637" customFormat="1" ht="24.95" customHeight="1">
      <c r="A297" s="632" t="s">
        <v>3077</v>
      </c>
      <c r="B297" s="633" t="s">
        <v>3378</v>
      </c>
      <c r="C297" s="634" t="s">
        <v>3379</v>
      </c>
      <c r="D297" s="635">
        <f>+'SP Pas Alim'!F169</f>
        <v>0</v>
      </c>
      <c r="E297" s="635">
        <f>+'SP Pas Alim'!G169</f>
        <v>0</v>
      </c>
      <c r="F297" s="618"/>
      <c r="G297" s="636"/>
      <c r="J297" s="621"/>
      <c r="K297" s="620"/>
    </row>
    <row r="298" spans="1:11" s="637" customFormat="1" ht="24.95" customHeight="1">
      <c r="A298" s="632" t="s">
        <v>3077</v>
      </c>
      <c r="B298" s="633" t="s">
        <v>3380</v>
      </c>
      <c r="C298" s="634" t="s">
        <v>3381</v>
      </c>
      <c r="D298" s="635">
        <f>+'SP Pas Alim'!F171</f>
        <v>0</v>
      </c>
      <c r="E298" s="635">
        <f>+'SP Pas Alim'!G171</f>
        <v>0</v>
      </c>
      <c r="F298" s="618"/>
      <c r="G298" s="636"/>
      <c r="J298" s="621"/>
      <c r="K298" s="620"/>
    </row>
    <row r="299" spans="1:11" s="637" customFormat="1" ht="24.95" customHeight="1">
      <c r="A299" s="632" t="s">
        <v>3077</v>
      </c>
      <c r="B299" s="633" t="s">
        <v>3382</v>
      </c>
      <c r="C299" s="634" t="s">
        <v>3383</v>
      </c>
      <c r="D299" s="635">
        <f>+'SP Pas Alim'!F173</f>
        <v>0</v>
      </c>
      <c r="E299" s="635">
        <f>+'SP Pas Alim'!G173</f>
        <v>0</v>
      </c>
      <c r="F299" s="618"/>
      <c r="G299" s="636"/>
      <c r="J299" s="621"/>
      <c r="K299" s="620"/>
    </row>
    <row r="300" spans="1:11" s="637" customFormat="1" ht="24.95" customHeight="1">
      <c r="A300" s="632" t="s">
        <v>1248</v>
      </c>
      <c r="B300" s="633" t="s">
        <v>3384</v>
      </c>
      <c r="C300" s="634" t="s">
        <v>3385</v>
      </c>
      <c r="D300" s="635">
        <f>+'SP Pas Alim'!F175</f>
        <v>0</v>
      </c>
      <c r="E300" s="635">
        <f>+'SP Pas Alim'!G175</f>
        <v>0</v>
      </c>
      <c r="F300" s="618"/>
      <c r="G300" s="636"/>
      <c r="J300" s="621"/>
      <c r="K300" s="620"/>
    </row>
    <row r="301" spans="1:11" s="637" customFormat="1" ht="24.95" customHeight="1">
      <c r="A301" s="650" t="s">
        <v>1248</v>
      </c>
      <c r="B301" s="633" t="s">
        <v>3386</v>
      </c>
      <c r="C301" s="634" t="s">
        <v>3387</v>
      </c>
      <c r="D301" s="635">
        <f>+'SP Pas Alim'!F177+'SP Pas Alim'!F178+'SP Pas Alim'!F179</f>
        <v>0</v>
      </c>
      <c r="E301" s="635">
        <f>+'SP Pas Alim'!G177+'SP Pas Alim'!G178+'SP Pas Alim'!G179</f>
        <v>0</v>
      </c>
      <c r="F301" s="618"/>
      <c r="G301" s="636"/>
      <c r="J301" s="621"/>
      <c r="K301" s="620"/>
    </row>
    <row r="302" spans="1:11" s="637" customFormat="1" ht="24.95" customHeight="1">
      <c r="A302" s="650" t="s">
        <v>1248</v>
      </c>
      <c r="B302" s="633" t="s">
        <v>3388</v>
      </c>
      <c r="C302" s="634" t="s">
        <v>3389</v>
      </c>
      <c r="D302" s="635">
        <f>+'SP Pas Alim'!F182+'SP Pas Alim'!F181+'SP Pas Alim'!F183</f>
        <v>56631773.970000006</v>
      </c>
      <c r="E302" s="635">
        <f>+'SP Pas Alim'!G182+'SP Pas Alim'!G181+'SP Pas Alim'!G183</f>
        <v>71600958.189999998</v>
      </c>
      <c r="F302" s="618"/>
      <c r="G302" s="636"/>
      <c r="J302" s="621"/>
      <c r="K302" s="620"/>
    </row>
    <row r="303" spans="1:11" s="665" customFormat="1" ht="24.95" customHeight="1">
      <c r="A303" s="667" t="s">
        <v>3077</v>
      </c>
      <c r="B303" s="633" t="s">
        <v>3390</v>
      </c>
      <c r="C303" s="668" t="s">
        <v>3391</v>
      </c>
      <c r="D303" s="635">
        <f>+'SP Pas Alim'!F185</f>
        <v>0</v>
      </c>
      <c r="E303" s="635">
        <f>+'SP Pas Alim'!G185</f>
        <v>0</v>
      </c>
      <c r="G303" s="636"/>
      <c r="J303" s="621"/>
      <c r="K303" s="620"/>
    </row>
    <row r="304" spans="1:11" s="637" customFormat="1" ht="24.95" customHeight="1">
      <c r="A304" s="662" t="s">
        <v>1248</v>
      </c>
      <c r="B304" s="633" t="s">
        <v>3392</v>
      </c>
      <c r="C304" s="97" t="s">
        <v>3393</v>
      </c>
      <c r="D304" s="635">
        <f>+'SP Pas Alim'!F187</f>
        <v>0</v>
      </c>
      <c r="E304" s="635">
        <f>+'SP Pas Alim'!G187</f>
        <v>0</v>
      </c>
      <c r="F304" s="618"/>
      <c r="G304" s="636"/>
      <c r="J304" s="621"/>
      <c r="K304" s="620"/>
    </row>
    <row r="305" spans="1:11" s="665" customFormat="1" ht="24.95" customHeight="1">
      <c r="A305" s="669" t="s">
        <v>3077</v>
      </c>
      <c r="B305" s="719" t="s">
        <v>3394</v>
      </c>
      <c r="C305" s="97" t="s">
        <v>3395</v>
      </c>
      <c r="D305" s="635">
        <f>+'SP Pas Alim'!F189</f>
        <v>0</v>
      </c>
      <c r="E305" s="635">
        <f>+'SP Pas Alim'!G189</f>
        <v>0</v>
      </c>
      <c r="G305" s="636"/>
      <c r="J305" s="621"/>
      <c r="K305" s="620"/>
    </row>
    <row r="306" spans="1:11" s="637" customFormat="1" ht="24.95" customHeight="1">
      <c r="A306" s="682" t="s">
        <v>1297</v>
      </c>
      <c r="B306" s="639" t="s">
        <v>3396</v>
      </c>
      <c r="C306" s="640" t="s">
        <v>3397</v>
      </c>
      <c r="D306" s="635">
        <f>+'SP Pas Alim'!F191+'SP Pas Alim'!F192+'SP Pas Alim'!F193</f>
        <v>186484.69</v>
      </c>
      <c r="E306" s="635">
        <f>+'SP Pas Alim'!G191+'SP Pas Alim'!G192+'SP Pas Alim'!G193</f>
        <v>257211.15000000002</v>
      </c>
      <c r="F306" s="618"/>
      <c r="G306" s="636"/>
      <c r="J306" s="621"/>
      <c r="K306" s="620"/>
    </row>
    <row r="307" spans="1:11" s="637" customFormat="1" ht="24.95" customHeight="1">
      <c r="A307" s="650"/>
      <c r="B307" s="639" t="s">
        <v>3398</v>
      </c>
      <c r="C307" s="640" t="s">
        <v>3399</v>
      </c>
      <c r="D307" s="635">
        <f>SUM(D308:D312)</f>
        <v>0</v>
      </c>
      <c r="E307" s="635">
        <f>SUM(E308:E312)</f>
        <v>0</v>
      </c>
      <c r="F307" s="618"/>
      <c r="G307" s="636"/>
      <c r="J307" s="621"/>
      <c r="K307" s="620"/>
    </row>
    <row r="308" spans="1:11" s="637" customFormat="1" ht="24.95" customHeight="1">
      <c r="A308" s="650" t="s">
        <v>3077</v>
      </c>
      <c r="B308" s="651" t="s">
        <v>3400</v>
      </c>
      <c r="C308" s="652" t="s">
        <v>3401</v>
      </c>
      <c r="D308" s="635">
        <f>+'SP Pas Alim'!F196</f>
        <v>0</v>
      </c>
      <c r="E308" s="635">
        <f>+'SP Pas Alim'!G196</f>
        <v>0</v>
      </c>
      <c r="F308" s="618"/>
      <c r="G308" s="636"/>
      <c r="J308" s="621"/>
      <c r="K308" s="620"/>
    </row>
    <row r="309" spans="1:11" s="637" customFormat="1" ht="24.95" customHeight="1">
      <c r="A309" s="650" t="s">
        <v>3077</v>
      </c>
      <c r="B309" s="651" t="s">
        <v>3402</v>
      </c>
      <c r="C309" s="652" t="s">
        <v>3403</v>
      </c>
      <c r="D309" s="635">
        <f>+'SP Pas Alim'!F198</f>
        <v>0</v>
      </c>
      <c r="E309" s="635">
        <f>+'SP Pas Alim'!G198</f>
        <v>0</v>
      </c>
      <c r="F309" s="618"/>
      <c r="G309" s="636"/>
      <c r="J309" s="621"/>
      <c r="K309" s="620"/>
    </row>
    <row r="310" spans="1:11" s="637" customFormat="1" ht="24.95" customHeight="1">
      <c r="A310" s="650" t="s">
        <v>3077</v>
      </c>
      <c r="B310" s="651" t="s">
        <v>3404</v>
      </c>
      <c r="C310" s="652" t="s">
        <v>3405</v>
      </c>
      <c r="D310" s="635">
        <f>+'SP Pas Alim'!F200</f>
        <v>0</v>
      </c>
      <c r="E310" s="635">
        <f>+'SP Pas Alim'!G200</f>
        <v>0</v>
      </c>
      <c r="F310" s="618"/>
      <c r="G310" s="636"/>
      <c r="J310" s="621"/>
      <c r="K310" s="620"/>
    </row>
    <row r="311" spans="1:11" s="637" customFormat="1" ht="24.95" customHeight="1">
      <c r="A311" s="650" t="s">
        <v>3077</v>
      </c>
      <c r="B311" s="651" t="s">
        <v>3406</v>
      </c>
      <c r="C311" s="652" t="s">
        <v>3407</v>
      </c>
      <c r="D311" s="635">
        <f>+'SP Pas Alim'!F202</f>
        <v>0</v>
      </c>
      <c r="E311" s="635">
        <f>+'SP Pas Alim'!G202</f>
        <v>0</v>
      </c>
      <c r="F311" s="618"/>
      <c r="G311" s="636"/>
      <c r="J311" s="621"/>
      <c r="K311" s="620"/>
    </row>
    <row r="312" spans="1:11" s="637" customFormat="1" ht="24.95" customHeight="1">
      <c r="A312" s="650" t="s">
        <v>3077</v>
      </c>
      <c r="B312" s="651" t="s">
        <v>3408</v>
      </c>
      <c r="C312" s="652" t="s">
        <v>3409</v>
      </c>
      <c r="D312" s="635">
        <f>+'SP Pas Alim'!F204</f>
        <v>0</v>
      </c>
      <c r="E312" s="635">
        <f>+'SP Pas Alim'!G204</f>
        <v>0</v>
      </c>
      <c r="F312" s="618"/>
      <c r="G312" s="636"/>
      <c r="J312" s="621"/>
      <c r="K312" s="620"/>
    </row>
    <row r="313" spans="1:11" s="637" customFormat="1" ht="24.95" customHeight="1">
      <c r="A313" s="632"/>
      <c r="B313" s="696" t="s">
        <v>3410</v>
      </c>
      <c r="C313" s="697" t="s">
        <v>3411</v>
      </c>
      <c r="D313" s="635">
        <f>+D314+D315+D316</f>
        <v>0</v>
      </c>
      <c r="E313" s="635">
        <f>+E314+E315+E316</f>
        <v>0</v>
      </c>
      <c r="F313" s="757" t="s">
        <v>1835</v>
      </c>
      <c r="G313" s="636"/>
      <c r="J313" s="621"/>
      <c r="K313" s="620"/>
    </row>
    <row r="314" spans="1:11" s="637" customFormat="1" ht="24.95" customHeight="1">
      <c r="A314" s="632"/>
      <c r="B314" s="639" t="s">
        <v>3412</v>
      </c>
      <c r="C314" s="640" t="s">
        <v>3413</v>
      </c>
      <c r="D314" s="635">
        <f>+'SP Pas Alim'!F207</f>
        <v>0</v>
      </c>
      <c r="E314" s="635">
        <f>+'SP Pas Alim'!G207</f>
        <v>0</v>
      </c>
      <c r="F314" s="618"/>
      <c r="G314" s="636"/>
      <c r="J314" s="621"/>
      <c r="K314" s="620"/>
    </row>
    <row r="315" spans="1:11" s="637" customFormat="1" ht="24.95" customHeight="1">
      <c r="A315" s="632"/>
      <c r="B315" s="639" t="s">
        <v>3414</v>
      </c>
      <c r="C315" s="640" t="s">
        <v>3415</v>
      </c>
      <c r="D315" s="635">
        <f>+'SP Pas Alim'!F209</f>
        <v>0</v>
      </c>
      <c r="E315" s="635">
        <f>+'SP Pas Alim'!G209</f>
        <v>0</v>
      </c>
      <c r="F315" s="618"/>
      <c r="G315" s="636"/>
      <c r="J315" s="621"/>
      <c r="K315" s="620"/>
    </row>
    <row r="316" spans="1:11" s="637" customFormat="1" ht="24.95" customHeight="1">
      <c r="A316" s="632"/>
      <c r="B316" s="639" t="s">
        <v>3416</v>
      </c>
      <c r="C316" s="640" t="s">
        <v>3417</v>
      </c>
      <c r="D316" s="635">
        <f>+'SP Pas Alim'!F211+'SP Pas Alim'!F212+'SP Pas Alim'!F213</f>
        <v>0</v>
      </c>
      <c r="E316" s="635">
        <f>+'SP Pas Alim'!G211+'SP Pas Alim'!G212+'SP Pas Alim'!G213</f>
        <v>0</v>
      </c>
      <c r="F316" s="618"/>
      <c r="G316" s="636"/>
      <c r="J316" s="621"/>
      <c r="K316" s="620"/>
    </row>
    <row r="317" spans="1:11" s="637" customFormat="1" ht="24.95" customHeight="1">
      <c r="A317" s="632"/>
      <c r="B317" s="696" t="s">
        <v>3418</v>
      </c>
      <c r="C317" s="697" t="s">
        <v>3419</v>
      </c>
      <c r="D317" s="635">
        <f>+D318+D321</f>
        <v>69904093.439999998</v>
      </c>
      <c r="E317" s="635">
        <f>+E318+E321</f>
        <v>89809618.099999994</v>
      </c>
      <c r="F317" s="757" t="s">
        <v>1835</v>
      </c>
      <c r="G317" s="636"/>
      <c r="J317" s="621"/>
      <c r="K317" s="620"/>
    </row>
    <row r="318" spans="1:11" s="637" customFormat="1" ht="25.5">
      <c r="A318" s="632"/>
      <c r="B318" s="639" t="s">
        <v>3420</v>
      </c>
      <c r="C318" s="640" t="s">
        <v>3421</v>
      </c>
      <c r="D318" s="635">
        <f>+D319+D320</f>
        <v>0</v>
      </c>
      <c r="E318" s="635">
        <f>+E319+E320</f>
        <v>0</v>
      </c>
      <c r="F318" s="757" t="s">
        <v>1835</v>
      </c>
      <c r="G318" s="636"/>
      <c r="J318" s="621"/>
      <c r="K318" s="620"/>
    </row>
    <row r="319" spans="1:11" s="637" customFormat="1" ht="21">
      <c r="A319" s="632"/>
      <c r="B319" s="707" t="s">
        <v>3422</v>
      </c>
      <c r="C319" s="720" t="s">
        <v>3423</v>
      </c>
      <c r="D319" s="635">
        <f>+'SP Pas Alim'!F217+'SP Pas Alim'!F218</f>
        <v>0</v>
      </c>
      <c r="E319" s="635">
        <f>+'SP Pas Alim'!G217+'SP Pas Alim'!G218</f>
        <v>0</v>
      </c>
      <c r="F319" s="618"/>
      <c r="G319" s="636"/>
      <c r="J319" s="621"/>
      <c r="K319" s="620"/>
    </row>
    <row r="320" spans="1:11" s="637" customFormat="1" ht="21">
      <c r="A320" s="632"/>
      <c r="B320" s="707" t="s">
        <v>3424</v>
      </c>
      <c r="C320" s="720" t="s">
        <v>3425</v>
      </c>
      <c r="D320" s="635">
        <f>+'SP Pas Alim'!F220</f>
        <v>0</v>
      </c>
      <c r="E320" s="635">
        <f>+'SP Pas Alim'!G220</f>
        <v>0</v>
      </c>
      <c r="F320" s="618"/>
      <c r="G320" s="636"/>
      <c r="J320" s="621"/>
      <c r="K320" s="620"/>
    </row>
    <row r="321" spans="1:11" s="637" customFormat="1" ht="21">
      <c r="A321" s="632"/>
      <c r="B321" s="707" t="s">
        <v>3426</v>
      </c>
      <c r="C321" s="720" t="s">
        <v>3427</v>
      </c>
      <c r="D321" s="635">
        <f>+D322+D323</f>
        <v>69904093.439999998</v>
      </c>
      <c r="E321" s="635">
        <f>+E322+E323</f>
        <v>89809618.099999994</v>
      </c>
      <c r="F321" s="757" t="s">
        <v>1835</v>
      </c>
      <c r="G321" s="636"/>
      <c r="J321" s="621"/>
      <c r="K321" s="620"/>
    </row>
    <row r="322" spans="1:11" s="637" customFormat="1" ht="21">
      <c r="A322" s="632"/>
      <c r="B322" s="721" t="s">
        <v>3428</v>
      </c>
      <c r="C322" s="722" t="s">
        <v>3429</v>
      </c>
      <c r="D322" s="635">
        <f>+'SP Pas Alim'!F223+'SP Pas Alim'!F224+'SP Pas Alim'!F225+'SP Pas Alim'!F226+'SP Pas Alim'!F227+'SP Pas Alim'!F228</f>
        <v>73124369.909999996</v>
      </c>
      <c r="E322" s="635">
        <f>+'SP Pas Alim'!G223+'SP Pas Alim'!G224+'SP Pas Alim'!G225+'SP Pas Alim'!G226+'SP Pas Alim'!G227+'SP Pas Alim'!G228</f>
        <v>92485773.939999998</v>
      </c>
      <c r="F322" s="618"/>
      <c r="G322" s="636"/>
      <c r="J322" s="621"/>
      <c r="K322" s="620"/>
    </row>
    <row r="323" spans="1:11" s="637" customFormat="1" ht="21">
      <c r="A323" s="632"/>
      <c r="B323" s="721" t="s">
        <v>3430</v>
      </c>
      <c r="C323" s="722" t="s">
        <v>3431</v>
      </c>
      <c r="D323" s="635">
        <f>+'SP Pas Alim'!F230</f>
        <v>-3220276.47</v>
      </c>
      <c r="E323" s="635">
        <f>+'SP Pas Alim'!G230</f>
        <v>-2676155.84</v>
      </c>
      <c r="F323" s="618"/>
      <c r="G323" s="636"/>
      <c r="J323" s="621"/>
      <c r="K323" s="620"/>
    </row>
    <row r="324" spans="1:11" s="637" customFormat="1" ht="24.95" customHeight="1">
      <c r="A324" s="632"/>
      <c r="B324" s="696" t="s">
        <v>3432</v>
      </c>
      <c r="C324" s="697" t="s">
        <v>3433</v>
      </c>
      <c r="D324" s="635">
        <f>+'SP Pas Alim'!F232+'SP Pas Alim'!F233</f>
        <v>0</v>
      </c>
      <c r="E324" s="635">
        <f>+'SP Pas Alim'!G232+'SP Pas Alim'!G233</f>
        <v>0</v>
      </c>
      <c r="F324" s="618"/>
      <c r="G324" s="636"/>
      <c r="J324" s="621"/>
      <c r="K324" s="620"/>
    </row>
    <row r="325" spans="1:11" s="637" customFormat="1" ht="24.95" customHeight="1">
      <c r="A325" s="632"/>
      <c r="B325" s="696" t="s">
        <v>3434</v>
      </c>
      <c r="C325" s="697" t="s">
        <v>3435</v>
      </c>
      <c r="D325" s="635">
        <f>+'SP Pas Alim'!F235+'SP Pas Alim'!F236+'SP Pas Alim'!F237+'SP Pas Alim'!F238+'SP Pas Alim'!F239+'SP Pas Alim'!F240+'SP Pas Alim'!F241+'SP Pas Alim'!F242+'SP Pas Alim'!F243+'SP Pas Alim'!F244+'SP Pas Alim'!F245+'SP Pas Alim'!F246</f>
        <v>1301342.7000000002</v>
      </c>
      <c r="E325" s="635">
        <f>+'SP Pas Alim'!G235+'SP Pas Alim'!G236+'SP Pas Alim'!G237+'SP Pas Alim'!G238+'SP Pas Alim'!G239+'SP Pas Alim'!G240+'SP Pas Alim'!G241+'SP Pas Alim'!G242+'SP Pas Alim'!G243+'SP Pas Alim'!G244+'SP Pas Alim'!G245+'SP Pas Alim'!G246</f>
        <v>1679307.4635999927</v>
      </c>
      <c r="F325" s="618"/>
      <c r="G325" s="636"/>
      <c r="J325" s="621"/>
      <c r="K325" s="620"/>
    </row>
    <row r="326" spans="1:11" s="637" customFormat="1" ht="24.95" customHeight="1">
      <c r="A326" s="632"/>
      <c r="B326" s="696" t="s">
        <v>3436</v>
      </c>
      <c r="C326" s="697" t="s">
        <v>3437</v>
      </c>
      <c r="D326" s="635">
        <f>+'SP Pas Alim'!F248+'SP Pas Alim'!F249+'SP Pas Alim'!F250+'SP Pas Alim'!F251+'SP Pas Alim'!F252+'SP Pas Alim'!F253+'SP Pas Alim'!F254+'SP Pas Alim'!F255+'SP Pas Alim'!F256</f>
        <v>498835.36</v>
      </c>
      <c r="E326" s="635">
        <f>+'SP Pas Alim'!G248+'SP Pas Alim'!G249+'SP Pas Alim'!G250+'SP Pas Alim'!G251+'SP Pas Alim'!G252+'SP Pas Alim'!G253+'SP Pas Alim'!G254+'SP Pas Alim'!G255+'SP Pas Alim'!G256</f>
        <v>442346.82000000007</v>
      </c>
      <c r="F326" s="618"/>
      <c r="G326" s="636"/>
      <c r="J326" s="621"/>
      <c r="K326" s="620"/>
    </row>
    <row r="327" spans="1:11" s="637" customFormat="1" ht="24.95" customHeight="1">
      <c r="A327" s="632"/>
      <c r="B327" s="696" t="s">
        <v>3438</v>
      </c>
      <c r="C327" s="697" t="s">
        <v>3439</v>
      </c>
      <c r="D327" s="635">
        <f>+D328+D329+D330+D331</f>
        <v>4336958.75</v>
      </c>
      <c r="E327" s="635">
        <f>+E328+E329+E330+E331</f>
        <v>4329489.66</v>
      </c>
      <c r="F327" s="757" t="s">
        <v>1835</v>
      </c>
      <c r="G327" s="636"/>
      <c r="J327" s="621"/>
      <c r="K327" s="620"/>
    </row>
    <row r="328" spans="1:11" s="637" customFormat="1" ht="24.95" customHeight="1">
      <c r="A328" s="632"/>
      <c r="B328" s="639" t="s">
        <v>3440</v>
      </c>
      <c r="C328" s="640" t="s">
        <v>3441</v>
      </c>
      <c r="D328" s="635">
        <f>+'SP Pas Alim'!F259</f>
        <v>0</v>
      </c>
      <c r="E328" s="635">
        <f>+'SP Pas Alim'!G259</f>
        <v>0</v>
      </c>
      <c r="F328" s="618"/>
      <c r="G328" s="636"/>
      <c r="J328" s="621"/>
      <c r="K328" s="620"/>
    </row>
    <row r="329" spans="1:11" s="637" customFormat="1" ht="24.95" customHeight="1">
      <c r="A329" s="632"/>
      <c r="B329" s="639" t="s">
        <v>3442</v>
      </c>
      <c r="C329" s="640" t="s">
        <v>3443</v>
      </c>
      <c r="D329" s="635">
        <f>+'SP Pas Alim'!F261+'SP Pas Alim'!F262</f>
        <v>2101796.39</v>
      </c>
      <c r="E329" s="635">
        <f>+'SP Pas Alim'!G261+'SP Pas Alim'!G262</f>
        <v>1835498.15</v>
      </c>
      <c r="F329" s="618"/>
      <c r="G329" s="636"/>
      <c r="J329" s="621"/>
      <c r="K329" s="620"/>
    </row>
    <row r="330" spans="1:11" s="637" customFormat="1" ht="24.95" customHeight="1">
      <c r="A330" s="632"/>
      <c r="B330" s="639" t="s">
        <v>3444</v>
      </c>
      <c r="C330" s="640" t="s">
        <v>3445</v>
      </c>
      <c r="D330" s="635">
        <f>+'SP Pas Alim'!F264+'SP Pas Alim'!F265</f>
        <v>0</v>
      </c>
      <c r="E330" s="635">
        <f>+'SP Pas Alim'!G264+'SP Pas Alim'!G265</f>
        <v>0</v>
      </c>
      <c r="F330" s="618"/>
      <c r="G330" s="636"/>
      <c r="J330" s="621"/>
      <c r="K330" s="620"/>
    </row>
    <row r="331" spans="1:11" s="637" customFormat="1" ht="24.95" customHeight="1" thickBot="1">
      <c r="A331" s="642"/>
      <c r="B331" s="680" t="s">
        <v>3446</v>
      </c>
      <c r="C331" s="681" t="s">
        <v>3447</v>
      </c>
      <c r="D331" s="635">
        <f>+'SP Pas Alim'!F267+'SP Pas Alim'!F268+'SP Pas Alim'!F269+'SP Pas Alim'!F270+'SP Pas Alim'!F272+'SP Pas Alim'!F273+'SP Pas Alim'!F274+'SP Pas Alim'!F275+'SP Pas Alim'!F276+'SP Pas Alim'!F278+'SP Pas Alim'!F279+'SP Pas Alim'!F280+'SP Pas Alim'!F281+'SP Pas Alim'!F283+'SP Pas Alim'!F284+'SP Pas Alim'!F285+'SP Pas Alim'!F286</f>
        <v>2235162.3600000003</v>
      </c>
      <c r="E331" s="635">
        <f>+'SP Pas Alim'!G267+'SP Pas Alim'!G268+'SP Pas Alim'!G269+'SP Pas Alim'!G270+'SP Pas Alim'!G272+'SP Pas Alim'!G273+'SP Pas Alim'!G274+'SP Pas Alim'!G275+'SP Pas Alim'!G276+'SP Pas Alim'!G278+'SP Pas Alim'!G279+'SP Pas Alim'!G280+'SP Pas Alim'!G281+'SP Pas Alim'!G283+'SP Pas Alim'!G284+'SP Pas Alim'!G285+'SP Pas Alim'!G286</f>
        <v>2493991.5100000007</v>
      </c>
      <c r="F331" s="654"/>
      <c r="G331" s="666"/>
      <c r="J331" s="621"/>
      <c r="K331" s="620"/>
    </row>
    <row r="332" spans="1:11" s="637" customFormat="1" ht="24.95" customHeight="1">
      <c r="A332" s="688"/>
      <c r="B332" s="615" t="s">
        <v>3448</v>
      </c>
      <c r="C332" s="616" t="s">
        <v>3449</v>
      </c>
      <c r="D332" s="649">
        <f>+D333+D336</f>
        <v>0</v>
      </c>
      <c r="E332" s="649">
        <f>+E333+E336</f>
        <v>0</v>
      </c>
      <c r="F332" s="618"/>
      <c r="G332" s="636"/>
      <c r="J332" s="621"/>
      <c r="K332" s="620"/>
    </row>
    <row r="333" spans="1:11" s="637" customFormat="1" ht="24.95" customHeight="1">
      <c r="A333" s="632"/>
      <c r="B333" s="696" t="s">
        <v>3450</v>
      </c>
      <c r="C333" s="697" t="s">
        <v>3451</v>
      </c>
      <c r="D333" s="635">
        <f>+D334+D335</f>
        <v>0</v>
      </c>
      <c r="E333" s="635">
        <f>+E334+E335</f>
        <v>0</v>
      </c>
      <c r="F333" s="757" t="s">
        <v>1835</v>
      </c>
      <c r="G333" s="636"/>
      <c r="J333" s="621"/>
      <c r="K333" s="620"/>
    </row>
    <row r="334" spans="1:11" s="637" customFormat="1" ht="24.95" customHeight="1">
      <c r="A334" s="632"/>
      <c r="B334" s="639" t="s">
        <v>3452</v>
      </c>
      <c r="C334" s="640" t="s">
        <v>3453</v>
      </c>
      <c r="D334" s="635">
        <f>+'SP Pas Alim'!F290</f>
        <v>0</v>
      </c>
      <c r="E334" s="635">
        <f>+'SP Pas Alim'!G290</f>
        <v>0</v>
      </c>
      <c r="F334" s="618"/>
      <c r="G334" s="636"/>
      <c r="J334" s="621"/>
      <c r="K334" s="620"/>
    </row>
    <row r="335" spans="1:11" s="637" customFormat="1" ht="24.95" customHeight="1">
      <c r="A335" s="682" t="s">
        <v>1248</v>
      </c>
      <c r="B335" s="639" t="s">
        <v>3454</v>
      </c>
      <c r="C335" s="640" t="s">
        <v>3455</v>
      </c>
      <c r="D335" s="635">
        <f>+'SP Pas Alim'!F292</f>
        <v>0</v>
      </c>
      <c r="E335" s="635">
        <f>+'SP Pas Alim'!G292</f>
        <v>0</v>
      </c>
      <c r="F335" s="618"/>
      <c r="G335" s="636"/>
      <c r="J335" s="621"/>
      <c r="K335" s="620"/>
    </row>
    <row r="336" spans="1:11" s="637" customFormat="1" ht="24.95" customHeight="1">
      <c r="A336" s="632"/>
      <c r="B336" s="696" t="s">
        <v>3456</v>
      </c>
      <c r="C336" s="697" t="s">
        <v>3457</v>
      </c>
      <c r="D336" s="635">
        <f>+D337+D338+D339</f>
        <v>0</v>
      </c>
      <c r="E336" s="635">
        <f>+E337+E338+E339</f>
        <v>0</v>
      </c>
      <c r="F336" s="757" t="s">
        <v>1835</v>
      </c>
      <c r="G336" s="636"/>
      <c r="J336" s="621"/>
      <c r="K336" s="620"/>
    </row>
    <row r="337" spans="1:20" s="637" customFormat="1" ht="24.95" customHeight="1">
      <c r="A337" s="632"/>
      <c r="B337" s="639" t="s">
        <v>3458</v>
      </c>
      <c r="C337" s="640" t="s">
        <v>3459</v>
      </c>
      <c r="D337" s="635">
        <f>+'SP Pas Alim'!F295</f>
        <v>0</v>
      </c>
      <c r="E337" s="635">
        <f>+'SP Pas Alim'!G295</f>
        <v>0</v>
      </c>
      <c r="F337" s="618"/>
      <c r="G337" s="636"/>
      <c r="J337" s="621"/>
      <c r="K337" s="620"/>
    </row>
    <row r="338" spans="1:20" s="637" customFormat="1" ht="24.95" customHeight="1">
      <c r="A338" s="723" t="s">
        <v>1248</v>
      </c>
      <c r="B338" s="704" t="s">
        <v>3460</v>
      </c>
      <c r="C338" s="705" t="s">
        <v>3461</v>
      </c>
      <c r="D338" s="635">
        <f>+'SP Pas Alim'!F297</f>
        <v>0</v>
      </c>
      <c r="E338" s="635">
        <f>+'SP Pas Alim'!G297</f>
        <v>0</v>
      </c>
      <c r="F338" s="618"/>
      <c r="G338" s="636"/>
      <c r="J338" s="621"/>
      <c r="K338" s="620"/>
    </row>
    <row r="339" spans="1:20" s="665" customFormat="1" ht="37.5" customHeight="1">
      <c r="A339" s="632"/>
      <c r="B339" s="639" t="s">
        <v>3462</v>
      </c>
      <c r="C339" s="640" t="s">
        <v>3463</v>
      </c>
      <c r="D339" s="635">
        <f>+'SP Pas Alim'!F299</f>
        <v>0</v>
      </c>
      <c r="E339" s="635">
        <f>+'SP Pas Alim'!G299</f>
        <v>0</v>
      </c>
      <c r="F339" s="618"/>
      <c r="G339" s="636"/>
      <c r="J339" s="621"/>
      <c r="K339" s="620"/>
    </row>
    <row r="340" spans="1:20" s="637" customFormat="1" ht="24.95" customHeight="1" thickBot="1">
      <c r="A340" s="684"/>
      <c r="B340" s="724" t="s">
        <v>3464</v>
      </c>
      <c r="C340" s="725" t="s">
        <v>3465</v>
      </c>
      <c r="D340" s="726">
        <f>+D332+D275+D271+D238+D214</f>
        <v>243721454.91000003</v>
      </c>
      <c r="E340" s="726">
        <f>+E332+E275+E271+E238+E214</f>
        <v>249702444.95359987</v>
      </c>
      <c r="F340" s="618"/>
      <c r="G340" s="636"/>
      <c r="J340" s="621"/>
      <c r="K340" s="620"/>
    </row>
    <row r="341" spans="1:20" s="637" customFormat="1" ht="24.95" customHeight="1">
      <c r="A341" s="688"/>
      <c r="B341" s="615" t="s">
        <v>3466</v>
      </c>
      <c r="C341" s="689" t="s">
        <v>3467</v>
      </c>
      <c r="D341" s="690">
        <f>+D342+D343+D344+D345+D346</f>
        <v>347396.87</v>
      </c>
      <c r="E341" s="690">
        <f>+E342+E343+E344+E345+E346</f>
        <v>347396.87</v>
      </c>
      <c r="F341" s="618"/>
      <c r="G341" s="636"/>
      <c r="J341" s="621"/>
      <c r="K341" s="620"/>
    </row>
    <row r="342" spans="1:20" s="637" customFormat="1" ht="24.95" customHeight="1">
      <c r="A342" s="632"/>
      <c r="B342" s="691" t="s">
        <v>3468</v>
      </c>
      <c r="C342" s="692" t="s">
        <v>3469</v>
      </c>
      <c r="D342" s="635">
        <f>+'SP Pas Alim'!F303</f>
        <v>0</v>
      </c>
      <c r="E342" s="635">
        <f>+'SP Pas Alim'!G303</f>
        <v>0</v>
      </c>
      <c r="F342" s="618"/>
      <c r="G342" s="636"/>
      <c r="J342" s="621"/>
      <c r="K342" s="620"/>
    </row>
    <row r="343" spans="1:20" s="637" customFormat="1" ht="24.95" customHeight="1">
      <c r="A343" s="632"/>
      <c r="B343" s="691" t="s">
        <v>3470</v>
      </c>
      <c r="C343" s="692" t="s">
        <v>3471</v>
      </c>
      <c r="D343" s="635">
        <f>+'SP Pas Alim'!F305</f>
        <v>0</v>
      </c>
      <c r="E343" s="635">
        <f>+'SP Pas Alim'!G305</f>
        <v>0</v>
      </c>
      <c r="F343" s="618"/>
      <c r="G343" s="636"/>
      <c r="J343" s="621"/>
      <c r="K343" s="620"/>
    </row>
    <row r="344" spans="1:20" s="637" customFormat="1" ht="24.95" customHeight="1">
      <c r="A344" s="632"/>
      <c r="B344" s="691" t="s">
        <v>3472</v>
      </c>
      <c r="C344" s="692" t="s">
        <v>3473</v>
      </c>
      <c r="D344" s="635">
        <f>+'SP Pas Alim'!F307</f>
        <v>347396.87</v>
      </c>
      <c r="E344" s="635">
        <f>+'SP Pas Alim'!G307</f>
        <v>347396.87</v>
      </c>
      <c r="F344" s="618"/>
      <c r="G344" s="636"/>
      <c r="J344" s="621"/>
      <c r="K344" s="620"/>
    </row>
    <row r="345" spans="1:20" s="637" customFormat="1" ht="24.95" customHeight="1">
      <c r="A345" s="693"/>
      <c r="B345" s="691" t="s">
        <v>3474</v>
      </c>
      <c r="C345" s="692" t="s">
        <v>3475</v>
      </c>
      <c r="D345" s="635">
        <f>+'SP Pas Alim'!F309</f>
        <v>0</v>
      </c>
      <c r="E345" s="635">
        <f>+'SP Pas Alim'!G309</f>
        <v>0</v>
      </c>
      <c r="F345" s="618"/>
      <c r="G345" s="636"/>
      <c r="J345" s="621"/>
      <c r="K345" s="620"/>
    </row>
    <row r="346" spans="1:20" s="637" customFormat="1" ht="24.95" customHeight="1" thickBot="1">
      <c r="A346" s="642"/>
      <c r="B346" s="694" t="s">
        <v>3476</v>
      </c>
      <c r="C346" s="695" t="s">
        <v>3477</v>
      </c>
      <c r="D346" s="727">
        <f>+SUM('SP Pas Alim'!F311:F315)</f>
        <v>0</v>
      </c>
      <c r="E346" s="727">
        <f>+SUM('SP Pas Alim'!G311:G315)</f>
        <v>0</v>
      </c>
      <c r="F346" s="618"/>
      <c r="G346" s="636"/>
      <c r="J346" s="621"/>
      <c r="K346" s="620"/>
    </row>
    <row r="347" spans="1:20" customFormat="1" ht="12.75">
      <c r="A347" s="110"/>
      <c r="B347" s="109"/>
      <c r="C347" s="110"/>
      <c r="D347" s="110"/>
      <c r="E347" s="110"/>
      <c r="F347" s="110"/>
      <c r="G347" s="110"/>
      <c r="H347" s="110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335"/>
    </row>
    <row r="348" spans="1:20" customFormat="1" ht="12.75">
      <c r="A348" s="110"/>
      <c r="B348" s="62" t="s">
        <v>1816</v>
      </c>
      <c r="C348" s="110"/>
      <c r="D348" s="110"/>
      <c r="E348" s="110"/>
      <c r="F348" s="110"/>
      <c r="G348" s="110"/>
      <c r="H348" s="110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335"/>
    </row>
    <row r="349" spans="1:20" customFormat="1" ht="15">
      <c r="A349" s="336"/>
      <c r="B349" s="51"/>
      <c r="C349" s="110"/>
      <c r="D349" s="110"/>
      <c r="E349" s="110"/>
      <c r="F349" s="110"/>
      <c r="G349" s="110"/>
      <c r="H349" s="110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335"/>
    </row>
    <row r="350" spans="1:20" customFormat="1" ht="12.75">
      <c r="A350" s="336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337"/>
    </row>
    <row r="351" spans="1:20" customFormat="1" ht="12.75">
      <c r="A351" s="336"/>
      <c r="B351" s="55" t="s">
        <v>1817</v>
      </c>
      <c r="C351" s="111"/>
      <c r="D351" s="111" t="s">
        <v>1818</v>
      </c>
      <c r="E351" s="111"/>
      <c r="G351" s="111"/>
      <c r="H351" s="111"/>
      <c r="I351" s="111"/>
      <c r="L351" s="111"/>
      <c r="M351" s="111"/>
      <c r="N351" s="111"/>
      <c r="O351" s="111"/>
      <c r="P351" s="111"/>
      <c r="Q351" s="111"/>
      <c r="R351" s="62"/>
      <c r="S351" s="62"/>
      <c r="T351" s="305"/>
    </row>
    <row r="352" spans="1:20" customFormat="1" ht="12.75">
      <c r="A352" s="110"/>
      <c r="B352" s="62"/>
      <c r="C352" s="62"/>
      <c r="D352" s="62"/>
      <c r="E352" s="62"/>
      <c r="F352" s="62"/>
      <c r="G352" s="62"/>
      <c r="H352" s="62"/>
      <c r="I352" s="62"/>
      <c r="L352" s="62"/>
      <c r="M352" s="62"/>
      <c r="N352" s="62"/>
      <c r="O352" s="62"/>
      <c r="P352" s="62"/>
      <c r="Q352" s="62"/>
      <c r="R352" s="62"/>
      <c r="S352" s="62"/>
      <c r="T352" s="337"/>
    </row>
    <row r="353" spans="1:27" customFormat="1" ht="15">
      <c r="A353" s="110"/>
      <c r="B353" s="55" t="s">
        <v>1819</v>
      </c>
      <c r="C353" s="110"/>
      <c r="D353" s="111" t="s">
        <v>1819</v>
      </c>
      <c r="E353" s="111"/>
      <c r="F353" s="111"/>
      <c r="G353" s="111"/>
      <c r="H353" s="111"/>
      <c r="I353" s="111"/>
      <c r="L353" s="111"/>
      <c r="M353" s="111"/>
      <c r="N353" s="111"/>
      <c r="O353" s="111"/>
      <c r="P353" s="111"/>
      <c r="Q353" s="111"/>
      <c r="R353" s="111"/>
      <c r="S353" s="111"/>
      <c r="T353" s="338"/>
    </row>
    <row r="354" spans="1:27" customFormat="1" ht="12.75">
      <c r="A354" s="110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337"/>
    </row>
    <row r="355" spans="1:27" customFormat="1" ht="12.75">
      <c r="A355" s="110"/>
      <c r="B355" s="62"/>
      <c r="C355" s="62"/>
      <c r="D355" s="111" t="s">
        <v>1820</v>
      </c>
      <c r="E355" s="62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337"/>
    </row>
    <row r="356" spans="1:27" customFormat="1" ht="15">
      <c r="A356" s="110"/>
      <c r="B356" s="62"/>
      <c r="C356" s="62"/>
      <c r="E356" s="111"/>
      <c r="F356" s="111"/>
      <c r="N356" s="52"/>
      <c r="O356" s="52"/>
      <c r="P356" s="52"/>
      <c r="Q356" s="52"/>
      <c r="R356" s="52"/>
      <c r="T356" s="337"/>
    </row>
    <row r="357" spans="1:27" customFormat="1" ht="15">
      <c r="A357" s="52"/>
      <c r="B357" s="51"/>
      <c r="C357" s="111"/>
      <c r="D357" s="111" t="s">
        <v>1819</v>
      </c>
      <c r="E357" s="62"/>
      <c r="F357" s="62"/>
      <c r="N357" s="52"/>
      <c r="O357" s="52"/>
      <c r="P357" s="52"/>
      <c r="Q357" s="52"/>
      <c r="R357" s="52"/>
      <c r="T357" s="338"/>
    </row>
    <row r="358" spans="1:27" customFormat="1" ht="15">
      <c r="A358" s="52"/>
      <c r="B358" s="62"/>
      <c r="C358" s="62"/>
      <c r="D358" s="62"/>
      <c r="E358" s="62"/>
      <c r="N358" s="52"/>
      <c r="O358" s="52"/>
      <c r="P358" s="52"/>
      <c r="Q358" s="52"/>
      <c r="R358" s="52"/>
      <c r="T358" s="337"/>
    </row>
    <row r="359" spans="1:27" customFormat="1" ht="15">
      <c r="A359" s="52"/>
      <c r="C359" s="52"/>
      <c r="D359" s="52"/>
      <c r="E359" s="52"/>
      <c r="F359" s="111"/>
      <c r="G359" s="111"/>
      <c r="H359" s="111"/>
      <c r="N359" s="52"/>
      <c r="O359" s="52"/>
      <c r="P359" s="52"/>
      <c r="Q359" s="52"/>
      <c r="R359" s="52"/>
      <c r="U359" s="52"/>
    </row>
    <row r="360" spans="1:27" customFormat="1" ht="15">
      <c r="N360" s="52"/>
      <c r="O360" s="52"/>
      <c r="P360" s="52"/>
      <c r="Q360" s="52"/>
      <c r="R360" s="52"/>
    </row>
    <row r="361" spans="1:27" customFormat="1" ht="15">
      <c r="D361" s="800"/>
      <c r="S361" s="52"/>
      <c r="T361" s="52"/>
      <c r="U361" s="52"/>
      <c r="V361" s="52"/>
      <c r="W361" s="52"/>
    </row>
    <row r="362" spans="1:27" customFormat="1" ht="15">
      <c r="S362" s="53"/>
      <c r="T362" s="53"/>
      <c r="U362" s="53"/>
      <c r="V362" s="53"/>
      <c r="W362" s="53"/>
    </row>
    <row r="363" spans="1:27" customFormat="1" ht="15">
      <c r="S363" s="53"/>
      <c r="T363" s="53"/>
      <c r="U363" s="53"/>
      <c r="V363" s="53"/>
      <c r="W363" s="53"/>
    </row>
    <row r="364" spans="1:27" s="106" customFormat="1">
      <c r="A364" s="61"/>
      <c r="B364" s="61"/>
      <c r="C364" s="60"/>
      <c r="D364" s="569"/>
      <c r="E364" s="60"/>
      <c r="F364" s="602"/>
      <c r="G364" s="728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 spans="1:27" s="106" customFormat="1">
      <c r="A365" s="61"/>
      <c r="B365" s="61"/>
      <c r="C365" s="60"/>
      <c r="D365" s="569"/>
      <c r="E365" s="60"/>
      <c r="F365" s="602"/>
      <c r="G365" s="728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 spans="1:27" s="106" customFormat="1">
      <c r="A366" s="61"/>
      <c r="B366" s="61"/>
      <c r="C366" s="60"/>
      <c r="D366" s="569"/>
      <c r="E366" s="60"/>
      <c r="F366" s="602"/>
      <c r="G366" s="728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 spans="1:27" s="106" customFormat="1">
      <c r="A367" s="61"/>
      <c r="B367" s="61"/>
      <c r="C367" s="60"/>
      <c r="D367" s="569"/>
      <c r="E367" s="60"/>
      <c r="F367" s="602"/>
      <c r="G367" s="728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 spans="1:27" s="106" customFormat="1">
      <c r="A368" s="61"/>
      <c r="B368" s="61"/>
      <c r="C368" s="60"/>
      <c r="D368" s="569"/>
      <c r="E368" s="60"/>
      <c r="F368" s="602"/>
      <c r="G368" s="728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 spans="1:27" s="106" customFormat="1">
      <c r="A369" s="61"/>
      <c r="B369" s="61"/>
      <c r="C369" s="60"/>
      <c r="D369" s="569"/>
      <c r="E369" s="60"/>
      <c r="F369" s="602"/>
      <c r="G369" s="728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1:27" s="106" customFormat="1">
      <c r="A370" s="61"/>
      <c r="B370" s="61"/>
      <c r="C370" s="60"/>
      <c r="D370" s="569"/>
      <c r="E370" s="60"/>
      <c r="F370" s="602"/>
      <c r="G370" s="728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 spans="1:27" s="106" customFormat="1">
      <c r="A371" s="61"/>
      <c r="B371" s="61"/>
      <c r="C371" s="60"/>
      <c r="D371" s="569"/>
      <c r="E371" s="60"/>
      <c r="F371" s="602"/>
      <c r="G371" s="728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 spans="1:27" s="106" customFormat="1">
      <c r="A372" s="61"/>
      <c r="B372" s="61"/>
      <c r="C372" s="60"/>
      <c r="D372" s="569"/>
      <c r="E372" s="60"/>
      <c r="F372" s="602"/>
      <c r="G372" s="728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 spans="1:27" s="106" customFormat="1">
      <c r="A373" s="61"/>
      <c r="B373" s="61"/>
      <c r="C373" s="60"/>
      <c r="D373" s="569"/>
      <c r="E373" s="60"/>
      <c r="F373" s="602"/>
      <c r="G373" s="728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 spans="1:27" s="106" customFormat="1">
      <c r="A374" s="61"/>
      <c r="B374" s="61"/>
      <c r="C374" s="60"/>
      <c r="D374" s="569"/>
      <c r="E374" s="60"/>
      <c r="F374" s="602"/>
      <c r="G374" s="728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 spans="1:27" s="106" customFormat="1">
      <c r="A375" s="61"/>
      <c r="B375" s="61"/>
      <c r="C375" s="60"/>
      <c r="D375" s="569"/>
      <c r="E375" s="60"/>
      <c r="F375" s="602"/>
      <c r="G375" s="728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 spans="1:27" s="106" customFormat="1">
      <c r="A376" s="61"/>
      <c r="B376" s="61"/>
      <c r="C376" s="60"/>
      <c r="D376" s="569"/>
      <c r="E376" s="60"/>
      <c r="F376" s="602"/>
      <c r="G376" s="728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 spans="1:27" s="106" customFormat="1">
      <c r="A377" s="61"/>
      <c r="B377" s="61"/>
      <c r="C377" s="60"/>
      <c r="D377" s="569"/>
      <c r="E377" s="60"/>
      <c r="F377" s="602"/>
      <c r="G377" s="728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 spans="1:27" s="106" customFormat="1">
      <c r="A378" s="61"/>
      <c r="B378" s="61"/>
      <c r="C378" s="60"/>
      <c r="D378" s="569"/>
      <c r="E378" s="60"/>
      <c r="F378" s="602"/>
      <c r="G378" s="728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 spans="1:27" s="106" customFormat="1">
      <c r="A379" s="61"/>
      <c r="B379" s="61"/>
      <c r="C379" s="60"/>
      <c r="D379" s="569"/>
      <c r="E379" s="60"/>
      <c r="F379" s="602"/>
      <c r="G379" s="728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 spans="1:27" s="106" customFormat="1">
      <c r="A380" s="61"/>
      <c r="B380" s="61"/>
      <c r="C380" s="60"/>
      <c r="D380" s="569"/>
      <c r="E380" s="60"/>
      <c r="F380" s="602"/>
      <c r="G380" s="728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 spans="1:27" s="106" customFormat="1">
      <c r="A381" s="61"/>
      <c r="B381" s="61"/>
      <c r="C381" s="60"/>
      <c r="D381" s="569"/>
      <c r="E381" s="60"/>
      <c r="F381" s="602"/>
      <c r="G381" s="728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 spans="1:27" s="106" customFormat="1">
      <c r="A382" s="61"/>
      <c r="B382" s="61"/>
      <c r="C382" s="60"/>
      <c r="D382" s="569"/>
      <c r="E382" s="60"/>
      <c r="F382" s="602"/>
      <c r="G382" s="728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 spans="1:27" s="106" customFormat="1">
      <c r="A383" s="61"/>
      <c r="B383" s="61"/>
      <c r="C383" s="60"/>
      <c r="D383" s="569"/>
      <c r="E383" s="60"/>
      <c r="F383" s="602"/>
      <c r="G383" s="728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 spans="1:27" s="106" customFormat="1">
      <c r="A384" s="61"/>
      <c r="B384" s="61"/>
      <c r="C384" s="60"/>
      <c r="D384" s="569"/>
      <c r="E384" s="60"/>
      <c r="F384" s="602"/>
      <c r="G384" s="728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 spans="1:27" s="106" customFormat="1">
      <c r="A385" s="61"/>
      <c r="B385" s="61"/>
      <c r="C385" s="60"/>
      <c r="D385" s="569"/>
      <c r="E385" s="60"/>
      <c r="F385" s="602"/>
      <c r="G385" s="728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 spans="1:27" s="106" customFormat="1">
      <c r="A386" s="61"/>
      <c r="B386" s="61"/>
      <c r="C386" s="60"/>
      <c r="D386" s="569"/>
      <c r="E386" s="60"/>
      <c r="F386" s="602"/>
      <c r="G386" s="728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 spans="1:27" s="106" customFormat="1">
      <c r="A387" s="61"/>
      <c r="B387" s="61"/>
      <c r="C387" s="60"/>
      <c r="D387" s="569"/>
      <c r="E387" s="60"/>
      <c r="F387" s="602"/>
      <c r="G387" s="728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 spans="1:27" s="106" customFormat="1">
      <c r="A388" s="61"/>
      <c r="B388" s="61"/>
      <c r="C388" s="60"/>
      <c r="D388" s="569"/>
      <c r="E388" s="60"/>
      <c r="F388" s="602"/>
      <c r="G388" s="728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 spans="1:27" s="106" customFormat="1">
      <c r="A389" s="61"/>
      <c r="B389" s="61"/>
      <c r="C389" s="60"/>
      <c r="D389" s="569"/>
      <c r="E389" s="60"/>
      <c r="F389" s="602"/>
      <c r="G389" s="728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 spans="1:27" s="106" customFormat="1">
      <c r="A390" s="61"/>
      <c r="B390" s="61"/>
      <c r="C390" s="60"/>
      <c r="D390" s="569"/>
      <c r="E390" s="60"/>
      <c r="F390" s="602"/>
      <c r="G390" s="728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 spans="1:27" s="106" customFormat="1">
      <c r="A391" s="61"/>
      <c r="B391" s="61"/>
      <c r="C391" s="60"/>
      <c r="D391" s="569"/>
      <c r="E391" s="60"/>
      <c r="F391" s="602"/>
      <c r="G391" s="728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 spans="1:27" s="106" customFormat="1">
      <c r="A392" s="61"/>
      <c r="B392" s="61"/>
      <c r="C392" s="60"/>
      <c r="D392" s="569"/>
      <c r="E392" s="60"/>
      <c r="F392" s="602"/>
      <c r="G392" s="728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 spans="1:27" s="106" customFormat="1">
      <c r="A393" s="61"/>
      <c r="B393" s="61"/>
      <c r="C393" s="60"/>
      <c r="D393" s="569"/>
      <c r="E393" s="60"/>
      <c r="F393" s="602"/>
      <c r="G393" s="728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 spans="1:27" s="106" customFormat="1">
      <c r="A394" s="61"/>
      <c r="B394" s="61"/>
      <c r="C394" s="60"/>
      <c r="D394" s="569"/>
      <c r="E394" s="60"/>
      <c r="F394" s="602"/>
      <c r="G394" s="728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 spans="1:27" s="106" customFormat="1">
      <c r="A395" s="61"/>
      <c r="B395" s="61"/>
      <c r="C395" s="60"/>
      <c r="D395" s="569"/>
      <c r="E395" s="60"/>
      <c r="F395" s="602"/>
      <c r="G395" s="728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 spans="1:27" s="106" customFormat="1">
      <c r="A396" s="61"/>
      <c r="B396" s="61"/>
      <c r="C396" s="60"/>
      <c r="D396" s="569"/>
      <c r="E396" s="60"/>
      <c r="F396" s="602"/>
      <c r="G396" s="728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 spans="1:27" s="106" customFormat="1">
      <c r="A397" s="61"/>
      <c r="B397" s="61"/>
      <c r="C397" s="60"/>
      <c r="D397" s="569"/>
      <c r="E397" s="60"/>
      <c r="F397" s="602"/>
      <c r="G397" s="728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 spans="1:27" s="106" customFormat="1">
      <c r="A398" s="61"/>
      <c r="B398" s="61"/>
      <c r="C398" s="60"/>
      <c r="D398" s="569"/>
      <c r="E398" s="60"/>
      <c r="F398" s="602"/>
      <c r="G398" s="728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</row>
    <row r="399" spans="1:27" s="106" customFormat="1">
      <c r="A399" s="61"/>
      <c r="B399" s="61"/>
      <c r="C399" s="60"/>
      <c r="D399" s="569"/>
      <c r="E399" s="60"/>
      <c r="F399" s="602"/>
      <c r="G399" s="728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</row>
    <row r="400" spans="1:27" s="106" customFormat="1">
      <c r="A400" s="61"/>
      <c r="B400" s="61"/>
      <c r="C400" s="60"/>
      <c r="D400" s="569"/>
      <c r="E400" s="60"/>
      <c r="F400" s="602"/>
      <c r="G400" s="728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</row>
    <row r="401" spans="1:27" s="106" customFormat="1">
      <c r="A401" s="61"/>
      <c r="B401" s="61"/>
      <c r="C401" s="60"/>
      <c r="D401" s="569"/>
      <c r="E401" s="60"/>
      <c r="F401" s="602"/>
      <c r="G401" s="728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</row>
    <row r="402" spans="1:27" s="106" customFormat="1">
      <c r="A402" s="61"/>
      <c r="B402" s="61"/>
      <c r="C402" s="60"/>
      <c r="D402" s="569"/>
      <c r="E402" s="60"/>
      <c r="F402" s="602"/>
      <c r="G402" s="728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</row>
    <row r="403" spans="1:27" s="106" customFormat="1">
      <c r="A403" s="61"/>
      <c r="B403" s="61"/>
      <c r="C403" s="60"/>
      <c r="D403" s="569"/>
      <c r="E403" s="60"/>
      <c r="F403" s="602"/>
      <c r="G403" s="728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</row>
    <row r="404" spans="1:27" s="106" customFormat="1">
      <c r="A404" s="61"/>
      <c r="B404" s="61"/>
      <c r="C404" s="60"/>
      <c r="D404" s="569"/>
      <c r="E404" s="60"/>
      <c r="F404" s="602"/>
      <c r="G404" s="728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</row>
    <row r="405" spans="1:27" s="106" customFormat="1">
      <c r="A405" s="61"/>
      <c r="B405" s="61"/>
      <c r="C405" s="60"/>
      <c r="D405" s="569"/>
      <c r="E405" s="60"/>
      <c r="F405" s="602"/>
      <c r="G405" s="728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</row>
    <row r="406" spans="1:27" s="106" customFormat="1">
      <c r="A406" s="61"/>
      <c r="B406" s="61"/>
      <c r="C406" s="60"/>
      <c r="D406" s="569"/>
      <c r="E406" s="60"/>
      <c r="F406" s="602"/>
      <c r="G406" s="728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</row>
    <row r="407" spans="1:27" s="106" customFormat="1">
      <c r="A407" s="61"/>
      <c r="B407" s="61"/>
      <c r="C407" s="60"/>
      <c r="D407" s="569"/>
      <c r="E407" s="60"/>
      <c r="F407" s="602"/>
      <c r="G407" s="728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</row>
    <row r="408" spans="1:27" s="106" customFormat="1">
      <c r="A408" s="61"/>
      <c r="B408" s="61"/>
      <c r="C408" s="60"/>
      <c r="D408" s="569"/>
      <c r="E408" s="60"/>
      <c r="F408" s="602"/>
      <c r="G408" s="728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</row>
    <row r="409" spans="1:27" s="106" customFormat="1">
      <c r="A409" s="61"/>
      <c r="B409" s="61"/>
      <c r="C409" s="60"/>
      <c r="D409" s="569"/>
      <c r="E409" s="60"/>
      <c r="F409" s="602"/>
      <c r="G409" s="728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</row>
    <row r="410" spans="1:27" s="106" customFormat="1">
      <c r="A410" s="61"/>
      <c r="B410" s="61"/>
      <c r="C410" s="60"/>
      <c r="D410" s="569"/>
      <c r="E410" s="60"/>
      <c r="F410" s="602"/>
      <c r="G410" s="728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</row>
    <row r="411" spans="1:27" s="106" customFormat="1">
      <c r="A411" s="61"/>
      <c r="B411" s="61"/>
      <c r="C411" s="60"/>
      <c r="D411" s="569"/>
      <c r="E411" s="60"/>
      <c r="F411" s="602"/>
      <c r="G411" s="728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</row>
    <row r="412" spans="1:27" s="106" customFormat="1">
      <c r="A412" s="61"/>
      <c r="B412" s="61"/>
      <c r="C412" s="60"/>
      <c r="D412" s="569"/>
      <c r="E412" s="60"/>
      <c r="F412" s="602"/>
      <c r="G412" s="728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</row>
    <row r="413" spans="1:27" s="106" customFormat="1">
      <c r="A413" s="61"/>
      <c r="B413" s="61"/>
      <c r="C413" s="60"/>
      <c r="D413" s="569"/>
      <c r="E413" s="60"/>
      <c r="F413" s="602"/>
      <c r="G413" s="728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</row>
    <row r="414" spans="1:27" s="106" customFormat="1">
      <c r="A414" s="61"/>
      <c r="B414" s="61"/>
      <c r="C414" s="60"/>
      <c r="D414" s="569"/>
      <c r="E414" s="60"/>
      <c r="F414" s="602"/>
      <c r="G414" s="728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</row>
    <row r="415" spans="1:27" s="106" customFormat="1">
      <c r="A415" s="61"/>
      <c r="B415" s="61"/>
      <c r="C415" s="60"/>
      <c r="D415" s="569"/>
      <c r="E415" s="60"/>
      <c r="F415" s="602"/>
      <c r="G415" s="728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</row>
    <row r="416" spans="1:27" s="106" customFormat="1">
      <c r="A416" s="61"/>
      <c r="B416" s="61"/>
      <c r="C416" s="60"/>
      <c r="D416" s="569"/>
      <c r="E416" s="60"/>
      <c r="F416" s="602"/>
      <c r="G416" s="728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</row>
    <row r="417" spans="1:27" s="106" customFormat="1">
      <c r="A417" s="61"/>
      <c r="B417" s="61"/>
      <c r="C417" s="60"/>
      <c r="D417" s="569"/>
      <c r="E417" s="60"/>
      <c r="F417" s="602"/>
      <c r="G417" s="728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</row>
    <row r="418" spans="1:27" s="106" customFormat="1">
      <c r="A418" s="61"/>
      <c r="B418" s="61"/>
      <c r="C418" s="60"/>
      <c r="D418" s="569"/>
      <c r="E418" s="60"/>
      <c r="F418" s="602"/>
      <c r="G418" s="728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</row>
    <row r="419" spans="1:27" s="106" customFormat="1">
      <c r="A419" s="61"/>
      <c r="B419" s="61"/>
      <c r="C419" s="60"/>
      <c r="D419" s="569"/>
      <c r="E419" s="60"/>
      <c r="F419" s="602"/>
      <c r="G419" s="728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</row>
    <row r="420" spans="1:27" s="106" customFormat="1">
      <c r="A420" s="61"/>
      <c r="B420" s="61"/>
      <c r="C420" s="60"/>
      <c r="D420" s="569"/>
      <c r="E420" s="60"/>
      <c r="F420" s="602"/>
      <c r="G420" s="728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</row>
    <row r="421" spans="1:27" s="106" customFormat="1">
      <c r="A421" s="61"/>
      <c r="B421" s="61"/>
      <c r="C421" s="60"/>
      <c r="D421" s="569"/>
      <c r="E421" s="60"/>
      <c r="F421" s="602"/>
      <c r="G421" s="728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</row>
    <row r="422" spans="1:27" s="106" customFormat="1">
      <c r="A422" s="61"/>
      <c r="B422" s="61"/>
      <c r="C422" s="60"/>
      <c r="D422" s="569"/>
      <c r="E422" s="60"/>
      <c r="F422" s="602"/>
      <c r="G422" s="728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</row>
    <row r="423" spans="1:27" s="106" customFormat="1">
      <c r="A423" s="61"/>
      <c r="B423" s="61"/>
      <c r="C423" s="60"/>
      <c r="D423" s="569"/>
      <c r="E423" s="60"/>
      <c r="F423" s="602"/>
      <c r="G423" s="728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</row>
    <row r="424" spans="1:27" s="106" customFormat="1">
      <c r="A424" s="61"/>
      <c r="B424" s="61"/>
      <c r="C424" s="60"/>
      <c r="D424" s="569"/>
      <c r="E424" s="60"/>
      <c r="F424" s="602"/>
      <c r="G424" s="728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</row>
    <row r="425" spans="1:27" s="106" customFormat="1">
      <c r="A425" s="61"/>
      <c r="B425" s="61"/>
      <c r="C425" s="60"/>
      <c r="D425" s="569"/>
      <c r="E425" s="60"/>
      <c r="F425" s="602"/>
      <c r="G425" s="728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</row>
    <row r="426" spans="1:27" s="106" customFormat="1">
      <c r="A426" s="61"/>
      <c r="B426" s="61"/>
      <c r="C426" s="60"/>
      <c r="D426" s="569"/>
      <c r="E426" s="60"/>
      <c r="F426" s="602"/>
      <c r="G426" s="728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</row>
    <row r="427" spans="1:27" s="106" customFormat="1">
      <c r="A427" s="61"/>
      <c r="B427" s="61"/>
      <c r="C427" s="60"/>
      <c r="D427" s="569"/>
      <c r="E427" s="60"/>
      <c r="F427" s="602"/>
      <c r="G427" s="728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</row>
    <row r="428" spans="1:27" s="106" customFormat="1">
      <c r="A428" s="61"/>
      <c r="B428" s="61"/>
      <c r="C428" s="60"/>
      <c r="D428" s="569"/>
      <c r="E428" s="60"/>
      <c r="F428" s="602"/>
      <c r="G428" s="728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</row>
    <row r="429" spans="1:27" s="106" customFormat="1">
      <c r="A429" s="61"/>
      <c r="B429" s="61"/>
      <c r="C429" s="60"/>
      <c r="D429" s="569"/>
      <c r="E429" s="60"/>
      <c r="F429" s="602"/>
      <c r="G429" s="728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</row>
    <row r="430" spans="1:27" s="106" customFormat="1">
      <c r="A430" s="61"/>
      <c r="B430" s="61"/>
      <c r="C430" s="60"/>
      <c r="D430" s="569"/>
      <c r="E430" s="60"/>
      <c r="F430" s="602"/>
      <c r="G430" s="728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</row>
    <row r="431" spans="1:27" s="106" customFormat="1">
      <c r="A431" s="61"/>
      <c r="B431" s="61"/>
      <c r="C431" s="60"/>
      <c r="D431" s="569"/>
      <c r="E431" s="60"/>
      <c r="F431" s="602"/>
      <c r="G431" s="728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</row>
    <row r="432" spans="1:27" s="106" customFormat="1">
      <c r="A432" s="61"/>
      <c r="B432" s="61"/>
      <c r="C432" s="60"/>
      <c r="D432" s="569"/>
      <c r="E432" s="60"/>
      <c r="F432" s="602"/>
      <c r="G432" s="728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</row>
    <row r="433" spans="1:27" s="106" customFormat="1">
      <c r="A433" s="61"/>
      <c r="B433" s="61"/>
      <c r="C433" s="60"/>
      <c r="D433" s="569"/>
      <c r="E433" s="60"/>
      <c r="F433" s="602"/>
      <c r="G433" s="728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</row>
    <row r="434" spans="1:27" s="106" customFormat="1">
      <c r="A434" s="61"/>
      <c r="B434" s="61"/>
      <c r="C434" s="60"/>
      <c r="D434" s="569"/>
      <c r="E434" s="60"/>
      <c r="F434" s="602"/>
      <c r="G434" s="728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</row>
    <row r="435" spans="1:27" s="106" customFormat="1">
      <c r="A435" s="61"/>
      <c r="B435" s="61"/>
      <c r="C435" s="60"/>
      <c r="D435" s="569"/>
      <c r="E435" s="60"/>
      <c r="F435" s="602"/>
      <c r="G435" s="728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</row>
    <row r="436" spans="1:27" s="106" customFormat="1">
      <c r="A436" s="61"/>
      <c r="B436" s="61"/>
      <c r="C436" s="60"/>
      <c r="D436" s="569"/>
      <c r="E436" s="60"/>
      <c r="F436" s="602"/>
      <c r="G436" s="728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</row>
    <row r="437" spans="1:27" s="106" customFormat="1">
      <c r="A437" s="61"/>
      <c r="B437" s="61"/>
      <c r="C437" s="60"/>
      <c r="D437" s="569"/>
      <c r="E437" s="60"/>
      <c r="F437" s="602"/>
      <c r="G437" s="728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</row>
    <row r="438" spans="1:27" s="106" customFormat="1">
      <c r="A438" s="61"/>
      <c r="B438" s="61"/>
      <c r="C438" s="60"/>
      <c r="D438" s="569"/>
      <c r="E438" s="60"/>
      <c r="F438" s="602"/>
      <c r="G438" s="728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</row>
    <row r="439" spans="1:27" s="106" customFormat="1">
      <c r="A439" s="61"/>
      <c r="B439" s="61"/>
      <c r="C439" s="60"/>
      <c r="D439" s="569"/>
      <c r="E439" s="60"/>
      <c r="F439" s="602"/>
      <c r="G439" s="728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</row>
    <row r="440" spans="1:27" s="106" customFormat="1">
      <c r="A440" s="61"/>
      <c r="B440" s="61"/>
      <c r="C440" s="60"/>
      <c r="D440" s="569"/>
      <c r="E440" s="60"/>
      <c r="F440" s="602"/>
      <c r="G440" s="728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</row>
    <row r="441" spans="1:27" s="106" customFormat="1">
      <c r="A441" s="61"/>
      <c r="B441" s="61"/>
      <c r="C441" s="60"/>
      <c r="D441" s="569"/>
      <c r="E441" s="60"/>
      <c r="F441" s="602"/>
      <c r="G441" s="728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</row>
    <row r="442" spans="1:27" s="106" customFormat="1">
      <c r="A442" s="61"/>
      <c r="B442" s="61"/>
      <c r="C442" s="60"/>
      <c r="D442" s="569"/>
      <c r="E442" s="60"/>
      <c r="F442" s="602"/>
      <c r="G442" s="728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</row>
    <row r="443" spans="1:27" s="106" customFormat="1">
      <c r="A443" s="61"/>
      <c r="B443" s="61"/>
      <c r="C443" s="60"/>
      <c r="D443" s="569"/>
      <c r="E443" s="60"/>
      <c r="F443" s="602"/>
      <c r="G443" s="728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</row>
    <row r="444" spans="1:27" s="106" customFormat="1">
      <c r="A444" s="61"/>
      <c r="B444" s="61"/>
      <c r="C444" s="60"/>
      <c r="D444" s="569"/>
      <c r="E444" s="60"/>
      <c r="F444" s="602"/>
      <c r="G444" s="728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</row>
    <row r="445" spans="1:27" s="106" customFormat="1">
      <c r="A445" s="61"/>
      <c r="B445" s="61"/>
      <c r="C445" s="60"/>
      <c r="D445" s="569"/>
      <c r="E445" s="60"/>
      <c r="F445" s="602"/>
      <c r="G445" s="728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</row>
    <row r="446" spans="1:27" s="106" customFormat="1">
      <c r="A446" s="61"/>
      <c r="B446" s="61"/>
      <c r="C446" s="60"/>
      <c r="D446" s="569"/>
      <c r="E446" s="60"/>
      <c r="F446" s="602"/>
      <c r="G446" s="728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</row>
    <row r="447" spans="1:27" s="106" customFormat="1">
      <c r="A447" s="61"/>
      <c r="B447" s="61"/>
      <c r="C447" s="60"/>
      <c r="D447" s="569"/>
      <c r="E447" s="60"/>
      <c r="F447" s="602"/>
      <c r="G447" s="728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</row>
    <row r="448" spans="1:27" s="106" customFormat="1">
      <c r="A448" s="61"/>
      <c r="B448" s="61"/>
      <c r="C448" s="60"/>
      <c r="D448" s="569"/>
      <c r="E448" s="60"/>
      <c r="F448" s="602"/>
      <c r="G448" s="728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</row>
    <row r="449" spans="1:27" s="106" customFormat="1">
      <c r="A449" s="61"/>
      <c r="B449" s="61"/>
      <c r="C449" s="60"/>
      <c r="D449" s="569"/>
      <c r="E449" s="60"/>
      <c r="F449" s="602"/>
      <c r="G449" s="728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</row>
    <row r="450" spans="1:27" s="106" customFormat="1">
      <c r="A450" s="61"/>
      <c r="B450" s="61"/>
      <c r="C450" s="60"/>
      <c r="D450" s="569"/>
      <c r="E450" s="60"/>
      <c r="F450" s="602"/>
      <c r="G450" s="728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</row>
    <row r="451" spans="1:27" s="106" customFormat="1">
      <c r="A451" s="61"/>
      <c r="B451" s="61"/>
      <c r="C451" s="60"/>
      <c r="D451" s="569"/>
      <c r="E451" s="60"/>
      <c r="F451" s="602"/>
      <c r="G451" s="728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</row>
    <row r="452" spans="1:27" s="106" customFormat="1">
      <c r="A452" s="61"/>
      <c r="B452" s="61"/>
      <c r="C452" s="60"/>
      <c r="D452" s="569"/>
      <c r="E452" s="60"/>
      <c r="F452" s="602"/>
      <c r="G452" s="728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</row>
    <row r="453" spans="1:27" s="106" customFormat="1">
      <c r="A453" s="61"/>
      <c r="B453" s="61"/>
      <c r="C453" s="60"/>
      <c r="D453" s="569"/>
      <c r="E453" s="60"/>
      <c r="F453" s="602"/>
      <c r="G453" s="728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</row>
    <row r="454" spans="1:27" s="106" customFormat="1">
      <c r="A454" s="61"/>
      <c r="B454" s="61"/>
      <c r="C454" s="60"/>
      <c r="D454" s="569"/>
      <c r="E454" s="60"/>
      <c r="F454" s="602"/>
      <c r="G454" s="728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</row>
    <row r="455" spans="1:27" s="106" customFormat="1">
      <c r="A455" s="61"/>
      <c r="B455" s="61"/>
      <c r="C455" s="60"/>
      <c r="D455" s="569"/>
      <c r="E455" s="60"/>
      <c r="F455" s="602"/>
      <c r="G455" s="728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</row>
    <row r="456" spans="1:27" s="106" customFormat="1">
      <c r="A456" s="61"/>
      <c r="B456" s="61"/>
      <c r="C456" s="60"/>
      <c r="D456" s="569"/>
      <c r="E456" s="60"/>
      <c r="F456" s="602"/>
      <c r="G456" s="728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</row>
    <row r="457" spans="1:27" s="106" customFormat="1">
      <c r="A457" s="61"/>
      <c r="B457" s="61"/>
      <c r="C457" s="60"/>
      <c r="D457" s="569"/>
      <c r="E457" s="60"/>
      <c r="F457" s="602"/>
      <c r="G457" s="728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</row>
    <row r="458" spans="1:27" s="106" customFormat="1">
      <c r="A458" s="61"/>
      <c r="B458" s="61"/>
      <c r="C458" s="60"/>
      <c r="D458" s="569"/>
      <c r="E458" s="60"/>
      <c r="F458" s="602"/>
      <c r="G458" s="728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</row>
    <row r="459" spans="1:27" s="106" customFormat="1">
      <c r="A459" s="61"/>
      <c r="B459" s="61"/>
      <c r="C459" s="60"/>
      <c r="D459" s="569"/>
      <c r="E459" s="60"/>
      <c r="F459" s="602"/>
      <c r="G459" s="728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</row>
    <row r="460" spans="1:27" s="106" customFormat="1">
      <c r="A460" s="61"/>
      <c r="B460" s="61"/>
      <c r="C460" s="60"/>
      <c r="D460" s="569"/>
      <c r="E460" s="60"/>
      <c r="F460" s="602"/>
      <c r="G460" s="728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</row>
    <row r="461" spans="1:27" s="106" customFormat="1">
      <c r="A461" s="61"/>
      <c r="B461" s="61"/>
      <c r="C461" s="60"/>
      <c r="D461" s="569"/>
      <c r="E461" s="60"/>
      <c r="F461" s="602"/>
      <c r="G461" s="728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</row>
    <row r="462" spans="1:27" s="106" customFormat="1">
      <c r="A462" s="61"/>
      <c r="B462" s="61"/>
      <c r="C462" s="60"/>
      <c r="D462" s="569"/>
      <c r="E462" s="60"/>
      <c r="F462" s="602"/>
      <c r="G462" s="728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</row>
    <row r="463" spans="1:27" s="106" customFormat="1">
      <c r="A463" s="61"/>
      <c r="B463" s="61"/>
      <c r="C463" s="60"/>
      <c r="D463" s="569"/>
      <c r="E463" s="60"/>
      <c r="F463" s="602"/>
      <c r="G463" s="728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</row>
    <row r="464" spans="1:27" s="106" customFormat="1">
      <c r="A464" s="61"/>
      <c r="B464" s="61"/>
      <c r="C464" s="60"/>
      <c r="D464" s="569"/>
      <c r="E464" s="60"/>
      <c r="F464" s="602"/>
      <c r="G464" s="728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</row>
    <row r="465" spans="1:27" s="106" customFormat="1">
      <c r="A465" s="61"/>
      <c r="B465" s="61"/>
      <c r="C465" s="60"/>
      <c r="D465" s="569"/>
      <c r="E465" s="60"/>
      <c r="F465" s="602"/>
      <c r="G465" s="728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</row>
    <row r="466" spans="1:27" s="106" customFormat="1">
      <c r="A466" s="61"/>
      <c r="B466" s="61"/>
      <c r="C466" s="60"/>
      <c r="D466" s="569"/>
      <c r="E466" s="60"/>
      <c r="F466" s="602"/>
      <c r="G466" s="728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</row>
    <row r="467" spans="1:27" s="106" customFormat="1">
      <c r="A467" s="61"/>
      <c r="B467" s="61"/>
      <c r="C467" s="60"/>
      <c r="D467" s="569"/>
      <c r="E467" s="60"/>
      <c r="F467" s="602"/>
      <c r="G467" s="728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</row>
    <row r="468" spans="1:27" s="106" customFormat="1">
      <c r="A468" s="61"/>
      <c r="B468" s="61"/>
      <c r="C468" s="60"/>
      <c r="D468" s="569"/>
      <c r="E468" s="60"/>
      <c r="F468" s="602"/>
      <c r="G468" s="728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</row>
    <row r="469" spans="1:27" s="106" customFormat="1">
      <c r="A469" s="61"/>
      <c r="B469" s="61"/>
      <c r="C469" s="60"/>
      <c r="D469" s="569"/>
      <c r="E469" s="60"/>
      <c r="F469" s="602"/>
      <c r="G469" s="728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</row>
    <row r="470" spans="1:27" s="106" customFormat="1">
      <c r="A470" s="61"/>
      <c r="B470" s="61"/>
      <c r="C470" s="60"/>
      <c r="D470" s="569"/>
      <c r="E470" s="60"/>
      <c r="F470" s="602"/>
      <c r="G470" s="728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</row>
    <row r="471" spans="1:27" s="106" customFormat="1">
      <c r="A471" s="61"/>
      <c r="B471" s="61"/>
      <c r="C471" s="60"/>
      <c r="D471" s="569"/>
      <c r="E471" s="60"/>
      <c r="F471" s="602"/>
      <c r="G471" s="728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</row>
    <row r="472" spans="1:27" s="106" customFormat="1">
      <c r="A472" s="61"/>
      <c r="B472" s="61"/>
      <c r="C472" s="60"/>
      <c r="D472" s="569"/>
      <c r="E472" s="60"/>
      <c r="F472" s="602"/>
      <c r="G472" s="728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</row>
    <row r="473" spans="1:27" s="106" customFormat="1">
      <c r="A473" s="61"/>
      <c r="B473" s="61"/>
      <c r="C473" s="60"/>
      <c r="D473" s="569"/>
      <c r="E473" s="60"/>
      <c r="F473" s="602"/>
      <c r="G473" s="728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</row>
    <row r="474" spans="1:27" s="106" customFormat="1">
      <c r="A474" s="61"/>
      <c r="B474" s="61"/>
      <c r="C474" s="60"/>
      <c r="D474" s="569"/>
      <c r="E474" s="60"/>
      <c r="F474" s="602"/>
      <c r="G474" s="728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</row>
    <row r="475" spans="1:27" s="106" customFormat="1">
      <c r="A475" s="61"/>
      <c r="B475" s="61"/>
      <c r="C475" s="60"/>
      <c r="D475" s="569"/>
      <c r="E475" s="60"/>
      <c r="F475" s="602"/>
      <c r="G475" s="728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</row>
    <row r="476" spans="1:27" s="106" customFormat="1">
      <c r="A476" s="61"/>
      <c r="B476" s="61"/>
      <c r="C476" s="60"/>
      <c r="D476" s="569"/>
      <c r="E476" s="60"/>
      <c r="F476" s="602"/>
      <c r="G476" s="728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</row>
    <row r="477" spans="1:27" s="106" customFormat="1">
      <c r="A477" s="61"/>
      <c r="B477" s="61"/>
      <c r="C477" s="60"/>
      <c r="D477" s="569"/>
      <c r="E477" s="60"/>
      <c r="F477" s="602"/>
      <c r="G477" s="728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</row>
    <row r="478" spans="1:27" s="106" customFormat="1">
      <c r="A478" s="61"/>
      <c r="B478" s="61"/>
      <c r="C478" s="60"/>
      <c r="D478" s="569"/>
      <c r="E478" s="60"/>
      <c r="F478" s="602"/>
      <c r="G478" s="728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</row>
    <row r="479" spans="1:27" s="106" customFormat="1">
      <c r="A479" s="61"/>
      <c r="B479" s="61"/>
      <c r="C479" s="60"/>
      <c r="D479" s="569"/>
      <c r="E479" s="60"/>
      <c r="F479" s="602"/>
      <c r="G479" s="728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</row>
    <row r="480" spans="1:27" s="106" customFormat="1">
      <c r="A480" s="61"/>
      <c r="B480" s="61"/>
      <c r="C480" s="60"/>
      <c r="D480" s="569"/>
      <c r="E480" s="60"/>
      <c r="F480" s="602"/>
      <c r="G480" s="728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</row>
    <row r="481" spans="1:27" s="106" customFormat="1">
      <c r="A481" s="61"/>
      <c r="B481" s="61"/>
      <c r="C481" s="60"/>
      <c r="D481" s="569"/>
      <c r="E481" s="60"/>
      <c r="F481" s="602"/>
      <c r="G481" s="728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</row>
    <row r="482" spans="1:27" s="106" customFormat="1">
      <c r="A482" s="61"/>
      <c r="B482" s="61"/>
      <c r="C482" s="60"/>
      <c r="D482" s="569"/>
      <c r="E482" s="60"/>
      <c r="F482" s="602"/>
      <c r="G482" s="728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</row>
    <row r="483" spans="1:27" s="106" customFormat="1">
      <c r="A483" s="61"/>
      <c r="B483" s="61"/>
      <c r="C483" s="60"/>
      <c r="D483" s="569"/>
      <c r="E483" s="60"/>
      <c r="F483" s="602"/>
      <c r="G483" s="728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</row>
    <row r="484" spans="1:27" s="106" customFormat="1">
      <c r="A484" s="61"/>
      <c r="B484" s="61"/>
      <c r="C484" s="60"/>
      <c r="D484" s="569"/>
      <c r="E484" s="60"/>
      <c r="F484" s="602"/>
      <c r="G484" s="728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</row>
    <row r="485" spans="1:27" s="106" customFormat="1">
      <c r="A485" s="61"/>
      <c r="B485" s="61"/>
      <c r="C485" s="60"/>
      <c r="D485" s="569"/>
      <c r="E485" s="60"/>
      <c r="F485" s="602"/>
      <c r="G485" s="728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</row>
    <row r="486" spans="1:27" s="106" customFormat="1">
      <c r="A486" s="61"/>
      <c r="B486" s="61"/>
      <c r="C486" s="60"/>
      <c r="D486" s="569"/>
      <c r="E486" s="60"/>
      <c r="F486" s="602"/>
      <c r="G486" s="728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</row>
    <row r="487" spans="1:27" s="106" customFormat="1">
      <c r="A487" s="61"/>
      <c r="B487" s="61"/>
      <c r="C487" s="60"/>
      <c r="D487" s="569"/>
      <c r="E487" s="60"/>
      <c r="F487" s="602"/>
      <c r="G487" s="728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</row>
    <row r="488" spans="1:27" s="106" customFormat="1">
      <c r="A488" s="61"/>
      <c r="B488" s="61"/>
      <c r="C488" s="60"/>
      <c r="D488" s="569"/>
      <c r="E488" s="60"/>
      <c r="F488" s="602"/>
      <c r="G488" s="728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</row>
    <row r="489" spans="1:27" s="106" customFormat="1">
      <c r="A489" s="61"/>
      <c r="B489" s="61"/>
      <c r="C489" s="60"/>
      <c r="D489" s="569"/>
      <c r="E489" s="60"/>
      <c r="F489" s="602"/>
      <c r="G489" s="728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</row>
    <row r="490" spans="1:27" s="106" customFormat="1">
      <c r="A490" s="61"/>
      <c r="B490" s="61"/>
      <c r="C490" s="60"/>
      <c r="D490" s="569"/>
      <c r="E490" s="60"/>
      <c r="F490" s="602"/>
      <c r="G490" s="728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</row>
    <row r="491" spans="1:27" s="106" customFormat="1">
      <c r="A491" s="61"/>
      <c r="B491" s="61"/>
      <c r="C491" s="60"/>
      <c r="D491" s="569"/>
      <c r="E491" s="60"/>
      <c r="F491" s="602"/>
      <c r="G491" s="728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</row>
    <row r="492" spans="1:27" s="106" customFormat="1">
      <c r="A492" s="61"/>
      <c r="B492" s="61"/>
      <c r="C492" s="60"/>
      <c r="D492" s="569"/>
      <c r="E492" s="60"/>
      <c r="F492" s="602"/>
      <c r="G492" s="728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</row>
    <row r="493" spans="1:27" s="106" customFormat="1">
      <c r="A493" s="61"/>
      <c r="B493" s="61"/>
      <c r="C493" s="60"/>
      <c r="D493" s="569"/>
      <c r="E493" s="60"/>
      <c r="F493" s="602"/>
      <c r="G493" s="728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</row>
    <row r="494" spans="1:27" s="106" customFormat="1">
      <c r="A494" s="61"/>
      <c r="B494" s="61"/>
      <c r="C494" s="60"/>
      <c r="D494" s="569"/>
      <c r="E494" s="60"/>
      <c r="F494" s="602"/>
      <c r="G494" s="728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</row>
    <row r="495" spans="1:27" s="106" customFormat="1">
      <c r="A495" s="61"/>
      <c r="B495" s="61"/>
      <c r="C495" s="60"/>
      <c r="D495" s="569"/>
      <c r="E495" s="60"/>
      <c r="F495" s="602"/>
      <c r="G495" s="728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</row>
    <row r="496" spans="1:27" s="106" customFormat="1">
      <c r="A496" s="61"/>
      <c r="B496" s="61"/>
      <c r="C496" s="60"/>
      <c r="D496" s="569"/>
      <c r="E496" s="60"/>
      <c r="F496" s="602"/>
      <c r="G496" s="728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</row>
    <row r="497" spans="1:27" s="106" customFormat="1">
      <c r="A497" s="61"/>
      <c r="B497" s="61"/>
      <c r="C497" s="60"/>
      <c r="D497" s="569"/>
      <c r="E497" s="60"/>
      <c r="F497" s="602"/>
      <c r="G497" s="728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</row>
    <row r="498" spans="1:27" s="106" customFormat="1">
      <c r="A498" s="61"/>
      <c r="B498" s="61"/>
      <c r="C498" s="60"/>
      <c r="D498" s="569"/>
      <c r="E498" s="60"/>
      <c r="F498" s="602"/>
      <c r="G498" s="728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</row>
    <row r="499" spans="1:27" s="106" customFormat="1">
      <c r="A499" s="61"/>
      <c r="B499" s="61"/>
      <c r="C499" s="60"/>
      <c r="D499" s="569"/>
      <c r="E499" s="60"/>
      <c r="F499" s="602"/>
      <c r="G499" s="728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</row>
    <row r="500" spans="1:27" s="106" customFormat="1">
      <c r="A500" s="61"/>
      <c r="B500" s="61"/>
      <c r="C500" s="60"/>
      <c r="D500" s="569"/>
      <c r="E500" s="60"/>
      <c r="F500" s="602"/>
      <c r="G500" s="728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</row>
    <row r="501" spans="1:27" s="106" customFormat="1">
      <c r="A501" s="61"/>
      <c r="B501" s="61"/>
      <c r="C501" s="60"/>
      <c r="D501" s="569"/>
      <c r="E501" s="60"/>
      <c r="F501" s="602"/>
      <c r="G501" s="728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</row>
    <row r="502" spans="1:27" s="106" customFormat="1">
      <c r="A502" s="61"/>
      <c r="B502" s="61"/>
      <c r="C502" s="60"/>
      <c r="D502" s="569"/>
      <c r="E502" s="60"/>
      <c r="F502" s="602"/>
      <c r="G502" s="728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</row>
    <row r="503" spans="1:27" s="106" customFormat="1">
      <c r="A503" s="61"/>
      <c r="B503" s="61"/>
      <c r="C503" s="60"/>
      <c r="D503" s="569"/>
      <c r="E503" s="60"/>
      <c r="F503" s="602"/>
      <c r="G503" s="728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</row>
    <row r="504" spans="1:27" s="106" customFormat="1">
      <c r="A504" s="61"/>
      <c r="B504" s="61"/>
      <c r="C504" s="60"/>
      <c r="D504" s="569"/>
      <c r="E504" s="60"/>
      <c r="F504" s="602"/>
      <c r="G504" s="728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</row>
    <row r="505" spans="1:27" s="106" customFormat="1">
      <c r="A505" s="61"/>
      <c r="B505" s="61"/>
      <c r="C505" s="60"/>
      <c r="D505" s="569"/>
      <c r="E505" s="60"/>
      <c r="F505" s="602"/>
      <c r="G505" s="728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</row>
    <row r="506" spans="1:27" s="106" customFormat="1">
      <c r="A506" s="61"/>
      <c r="B506" s="61"/>
      <c r="C506" s="60"/>
      <c r="D506" s="569"/>
      <c r="E506" s="60"/>
      <c r="F506" s="602"/>
      <c r="G506" s="728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</row>
    <row r="507" spans="1:27" s="106" customFormat="1">
      <c r="A507" s="61"/>
      <c r="B507" s="61"/>
      <c r="C507" s="60"/>
      <c r="D507" s="569"/>
      <c r="E507" s="60"/>
      <c r="F507" s="602"/>
      <c r="G507" s="728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</row>
    <row r="508" spans="1:27" s="106" customFormat="1">
      <c r="A508" s="61"/>
      <c r="B508" s="61"/>
      <c r="C508" s="60"/>
      <c r="D508" s="569"/>
      <c r="E508" s="60"/>
      <c r="F508" s="602"/>
      <c r="G508" s="728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</row>
    <row r="509" spans="1:27" s="106" customFormat="1">
      <c r="A509" s="61"/>
      <c r="B509" s="61"/>
      <c r="C509" s="60"/>
      <c r="D509" s="569"/>
      <c r="E509" s="60"/>
      <c r="F509" s="602"/>
      <c r="G509" s="728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</row>
    <row r="510" spans="1:27" s="106" customFormat="1">
      <c r="A510" s="61"/>
      <c r="B510" s="61"/>
      <c r="C510" s="60"/>
      <c r="D510" s="569"/>
      <c r="E510" s="60"/>
      <c r="F510" s="602"/>
      <c r="G510" s="728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</row>
    <row r="511" spans="1:27" s="106" customFormat="1">
      <c r="A511" s="61"/>
      <c r="B511" s="61"/>
      <c r="C511" s="60"/>
      <c r="D511" s="569"/>
      <c r="E511" s="60"/>
      <c r="F511" s="602"/>
      <c r="G511" s="728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</row>
    <row r="512" spans="1:27" s="106" customFormat="1">
      <c r="A512" s="61"/>
      <c r="B512" s="61"/>
      <c r="C512" s="60"/>
      <c r="D512" s="569"/>
      <c r="E512" s="60"/>
      <c r="F512" s="602"/>
      <c r="G512" s="728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</row>
    <row r="513" spans="1:27" s="106" customFormat="1">
      <c r="A513" s="61"/>
      <c r="B513" s="61"/>
      <c r="C513" s="60"/>
      <c r="D513" s="569"/>
      <c r="E513" s="60"/>
      <c r="F513" s="602"/>
      <c r="G513" s="728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</row>
    <row r="514" spans="1:27" s="106" customFormat="1">
      <c r="A514" s="61"/>
      <c r="B514" s="61"/>
      <c r="C514" s="60"/>
      <c r="D514" s="569"/>
      <c r="E514" s="60"/>
      <c r="F514" s="602"/>
      <c r="G514" s="728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</row>
    <row r="515" spans="1:27" s="106" customFormat="1">
      <c r="A515" s="61"/>
      <c r="B515" s="61"/>
      <c r="C515" s="60"/>
      <c r="D515" s="569"/>
      <c r="E515" s="60"/>
      <c r="F515" s="602"/>
      <c r="G515" s="728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</row>
    <row r="516" spans="1:27" s="106" customFormat="1">
      <c r="A516" s="61"/>
      <c r="B516" s="61"/>
      <c r="C516" s="60"/>
      <c r="D516" s="569"/>
      <c r="E516" s="60"/>
      <c r="F516" s="602"/>
      <c r="G516" s="728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</row>
    <row r="517" spans="1:27" s="106" customFormat="1">
      <c r="A517" s="61"/>
      <c r="B517" s="61"/>
      <c r="C517" s="60"/>
      <c r="D517" s="569"/>
      <c r="E517" s="60"/>
      <c r="F517" s="602"/>
      <c r="G517" s="728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</row>
    <row r="518" spans="1:27" s="106" customFormat="1">
      <c r="A518" s="61"/>
      <c r="B518" s="61"/>
      <c r="C518" s="60"/>
      <c r="D518" s="569"/>
      <c r="E518" s="60"/>
      <c r="F518" s="602"/>
      <c r="G518" s="728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</row>
    <row r="519" spans="1:27" s="106" customFormat="1">
      <c r="A519" s="61"/>
      <c r="B519" s="61"/>
      <c r="C519" s="60"/>
      <c r="D519" s="569"/>
      <c r="E519" s="60"/>
      <c r="F519" s="602"/>
      <c r="G519" s="728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</row>
    <row r="520" spans="1:27" s="106" customFormat="1">
      <c r="A520" s="61"/>
      <c r="B520" s="61"/>
      <c r="C520" s="60"/>
      <c r="D520" s="569"/>
      <c r="E520" s="60"/>
      <c r="F520" s="602"/>
      <c r="G520" s="728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</row>
    <row r="521" spans="1:27" s="106" customFormat="1">
      <c r="A521" s="61"/>
      <c r="B521" s="61"/>
      <c r="C521" s="60"/>
      <c r="D521" s="569"/>
      <c r="E521" s="60"/>
      <c r="F521" s="602"/>
      <c r="G521" s="728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</row>
    <row r="522" spans="1:27" s="106" customFormat="1">
      <c r="A522" s="61"/>
      <c r="B522" s="61"/>
      <c r="C522" s="60"/>
      <c r="D522" s="569"/>
      <c r="E522" s="60"/>
      <c r="F522" s="602"/>
      <c r="G522" s="728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</row>
    <row r="523" spans="1:27" s="106" customFormat="1">
      <c r="A523" s="61"/>
      <c r="B523" s="61"/>
      <c r="C523" s="60"/>
      <c r="D523" s="569"/>
      <c r="E523" s="60"/>
      <c r="F523" s="602"/>
      <c r="G523" s="728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</row>
    <row r="524" spans="1:27" s="106" customFormat="1">
      <c r="A524" s="61"/>
      <c r="B524" s="61"/>
      <c r="C524" s="60"/>
      <c r="D524" s="569"/>
      <c r="E524" s="60"/>
      <c r="F524" s="602"/>
      <c r="G524" s="728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</row>
    <row r="525" spans="1:27" s="106" customFormat="1">
      <c r="A525" s="61"/>
      <c r="B525" s="61"/>
      <c r="C525" s="60"/>
      <c r="D525" s="569"/>
      <c r="E525" s="60"/>
      <c r="F525" s="602"/>
      <c r="G525" s="728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</row>
    <row r="526" spans="1:27" s="106" customFormat="1">
      <c r="A526" s="61"/>
      <c r="B526" s="61"/>
      <c r="C526" s="60"/>
      <c r="D526" s="569"/>
      <c r="E526" s="60"/>
      <c r="F526" s="602"/>
      <c r="G526" s="728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</row>
    <row r="527" spans="1:27" s="106" customFormat="1">
      <c r="A527" s="61"/>
      <c r="B527" s="61"/>
      <c r="C527" s="60"/>
      <c r="D527" s="569"/>
      <c r="E527" s="60"/>
      <c r="F527" s="602"/>
      <c r="G527" s="728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</row>
    <row r="528" spans="1:27" s="106" customFormat="1">
      <c r="A528" s="61"/>
      <c r="B528" s="61"/>
      <c r="C528" s="60"/>
      <c r="D528" s="569"/>
      <c r="E528" s="60"/>
      <c r="F528" s="602"/>
      <c r="G528" s="728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</row>
    <row r="529" spans="1:27" s="106" customFormat="1">
      <c r="A529" s="61"/>
      <c r="B529" s="61"/>
      <c r="C529" s="60"/>
      <c r="D529" s="569"/>
      <c r="E529" s="60"/>
      <c r="F529" s="602"/>
      <c r="G529" s="728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</row>
    <row r="530" spans="1:27" s="106" customFormat="1">
      <c r="A530" s="61"/>
      <c r="B530" s="61"/>
      <c r="C530" s="60"/>
      <c r="D530" s="569"/>
      <c r="E530" s="60"/>
      <c r="F530" s="602"/>
      <c r="G530" s="728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</row>
    <row r="531" spans="1:27" s="106" customFormat="1">
      <c r="A531" s="61"/>
      <c r="B531" s="61"/>
      <c r="C531" s="60"/>
      <c r="D531" s="569"/>
      <c r="E531" s="60"/>
      <c r="F531" s="602"/>
      <c r="G531" s="728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</row>
    <row r="532" spans="1:27" s="106" customFormat="1">
      <c r="A532" s="61"/>
      <c r="B532" s="61"/>
      <c r="C532" s="60"/>
      <c r="D532" s="569"/>
      <c r="E532" s="60"/>
      <c r="F532" s="602"/>
      <c r="G532" s="728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</row>
    <row r="533" spans="1:27" s="106" customFormat="1">
      <c r="A533" s="61"/>
      <c r="B533" s="61"/>
      <c r="C533" s="60"/>
      <c r="D533" s="569"/>
      <c r="E533" s="60"/>
      <c r="F533" s="602"/>
      <c r="G533" s="728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</row>
    <row r="534" spans="1:27" s="106" customFormat="1">
      <c r="A534" s="61"/>
      <c r="B534" s="61"/>
      <c r="C534" s="60"/>
      <c r="D534" s="569"/>
      <c r="E534" s="60"/>
      <c r="F534" s="602"/>
      <c r="G534" s="728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</row>
    <row r="535" spans="1:27" s="106" customFormat="1">
      <c r="A535" s="61"/>
      <c r="B535" s="61"/>
      <c r="C535" s="60"/>
      <c r="D535" s="569"/>
      <c r="E535" s="60"/>
      <c r="F535" s="602"/>
      <c r="G535" s="728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</row>
    <row r="536" spans="1:27" s="106" customFormat="1">
      <c r="A536" s="61"/>
      <c r="B536" s="61"/>
      <c r="C536" s="60"/>
      <c r="D536" s="569"/>
      <c r="E536" s="60"/>
      <c r="F536" s="602"/>
      <c r="G536" s="728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</row>
    <row r="537" spans="1:27" s="106" customFormat="1">
      <c r="A537" s="61"/>
      <c r="B537" s="61"/>
      <c r="C537" s="60"/>
      <c r="D537" s="569"/>
      <c r="E537" s="60"/>
      <c r="F537" s="602"/>
      <c r="G537" s="728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</row>
    <row r="538" spans="1:27" s="106" customFormat="1">
      <c r="A538" s="61"/>
      <c r="B538" s="61"/>
      <c r="C538" s="60"/>
      <c r="D538" s="569"/>
      <c r="E538" s="60"/>
      <c r="F538" s="602"/>
      <c r="G538" s="728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</row>
    <row r="539" spans="1:27" s="106" customFormat="1">
      <c r="A539" s="61"/>
      <c r="B539" s="61"/>
      <c r="C539" s="60"/>
      <c r="D539" s="569"/>
      <c r="E539" s="60"/>
      <c r="F539" s="602"/>
      <c r="G539" s="728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</row>
    <row r="540" spans="1:27" s="106" customFormat="1">
      <c r="A540" s="61"/>
      <c r="B540" s="61"/>
      <c r="C540" s="60"/>
      <c r="D540" s="569"/>
      <c r="E540" s="60"/>
      <c r="F540" s="602"/>
      <c r="G540" s="728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</row>
    <row r="541" spans="1:27" s="106" customFormat="1">
      <c r="A541" s="61"/>
      <c r="B541" s="61"/>
      <c r="C541" s="60"/>
      <c r="D541" s="569"/>
      <c r="E541" s="60"/>
      <c r="F541" s="602"/>
      <c r="G541" s="728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</row>
    <row r="542" spans="1:27" s="106" customFormat="1">
      <c r="A542" s="61"/>
      <c r="B542" s="61"/>
      <c r="C542" s="60"/>
      <c r="D542" s="569"/>
      <c r="E542" s="60"/>
      <c r="F542" s="602"/>
      <c r="G542" s="728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</row>
    <row r="543" spans="1:27" s="106" customFormat="1">
      <c r="A543" s="61"/>
      <c r="B543" s="61"/>
      <c r="C543" s="60"/>
      <c r="D543" s="569"/>
      <c r="E543" s="60"/>
      <c r="F543" s="602"/>
      <c r="G543" s="728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</row>
    <row r="544" spans="1:27" s="106" customFormat="1">
      <c r="A544" s="61"/>
      <c r="B544" s="61"/>
      <c r="C544" s="60"/>
      <c r="D544" s="569"/>
      <c r="E544" s="60"/>
      <c r="F544" s="602"/>
      <c r="G544" s="728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</row>
    <row r="545" spans="1:27" s="106" customFormat="1">
      <c r="A545" s="61"/>
      <c r="B545" s="61"/>
      <c r="C545" s="60"/>
      <c r="D545" s="569"/>
      <c r="E545" s="60"/>
      <c r="F545" s="602"/>
      <c r="G545" s="728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</row>
    <row r="546" spans="1:27" s="106" customFormat="1">
      <c r="A546" s="61"/>
      <c r="B546" s="61"/>
      <c r="C546" s="60"/>
      <c r="D546" s="569"/>
      <c r="E546" s="60"/>
      <c r="F546" s="602"/>
      <c r="G546" s="728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</row>
    <row r="547" spans="1:27" s="106" customFormat="1">
      <c r="A547" s="61"/>
      <c r="B547" s="61"/>
      <c r="C547" s="60"/>
      <c r="D547" s="569"/>
      <c r="E547" s="60"/>
      <c r="F547" s="602"/>
      <c r="G547" s="728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</row>
    <row r="548" spans="1:27" s="106" customFormat="1">
      <c r="A548" s="61"/>
      <c r="B548" s="61"/>
      <c r="C548" s="60"/>
      <c r="D548" s="569"/>
      <c r="E548" s="60"/>
      <c r="F548" s="602"/>
      <c r="G548" s="728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</row>
    <row r="549" spans="1:27" s="106" customFormat="1">
      <c r="A549" s="61"/>
      <c r="B549" s="61"/>
      <c r="C549" s="60"/>
      <c r="D549" s="569"/>
      <c r="E549" s="60"/>
      <c r="F549" s="602"/>
      <c r="G549" s="728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</row>
    <row r="550" spans="1:27" s="106" customFormat="1">
      <c r="A550" s="61"/>
      <c r="B550" s="61"/>
      <c r="C550" s="60"/>
      <c r="D550" s="569"/>
      <c r="E550" s="60"/>
      <c r="F550" s="602"/>
      <c r="G550" s="728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</row>
    <row r="551" spans="1:27" s="106" customFormat="1">
      <c r="A551" s="61"/>
      <c r="B551" s="61"/>
      <c r="C551" s="60"/>
      <c r="D551" s="569"/>
      <c r="E551" s="60"/>
      <c r="F551" s="602"/>
      <c r="G551" s="728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</row>
    <row r="552" spans="1:27" s="106" customFormat="1">
      <c r="A552" s="61"/>
      <c r="B552" s="61"/>
      <c r="C552" s="60"/>
      <c r="D552" s="569"/>
      <c r="E552" s="60"/>
      <c r="F552" s="602"/>
      <c r="G552" s="728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</row>
    <row r="553" spans="1:27" s="106" customFormat="1">
      <c r="A553" s="61"/>
      <c r="B553" s="61"/>
      <c r="C553" s="60"/>
      <c r="D553" s="569"/>
      <c r="E553" s="60"/>
      <c r="F553" s="602"/>
      <c r="G553" s="728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</row>
    <row r="554" spans="1:27" s="106" customFormat="1">
      <c r="A554" s="61"/>
      <c r="B554" s="61"/>
      <c r="C554" s="60"/>
      <c r="D554" s="569"/>
      <c r="E554" s="60"/>
      <c r="F554" s="602"/>
      <c r="G554" s="728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</row>
    <row r="555" spans="1:27" s="106" customFormat="1">
      <c r="A555" s="61"/>
      <c r="B555" s="61"/>
      <c r="C555" s="60"/>
      <c r="D555" s="569"/>
      <c r="E555" s="60"/>
      <c r="F555" s="602"/>
      <c r="G555" s="728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</row>
    <row r="556" spans="1:27" s="106" customFormat="1">
      <c r="A556" s="61"/>
      <c r="B556" s="61"/>
      <c r="C556" s="60"/>
      <c r="D556" s="569"/>
      <c r="E556" s="60"/>
      <c r="F556" s="602"/>
      <c r="G556" s="728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</row>
    <row r="557" spans="1:27" s="106" customFormat="1">
      <c r="A557" s="61"/>
      <c r="B557" s="61"/>
      <c r="C557" s="60"/>
      <c r="D557" s="569"/>
      <c r="E557" s="60"/>
      <c r="F557" s="602"/>
      <c r="G557" s="728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</row>
    <row r="558" spans="1:27" s="106" customFormat="1">
      <c r="A558" s="61"/>
      <c r="B558" s="61"/>
      <c r="C558" s="60"/>
      <c r="D558" s="569"/>
      <c r="E558" s="60"/>
      <c r="F558" s="602"/>
      <c r="G558" s="728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</row>
    <row r="559" spans="1:27" s="106" customFormat="1">
      <c r="A559" s="61"/>
      <c r="B559" s="61"/>
      <c r="C559" s="60"/>
      <c r="D559" s="569"/>
      <c r="E559" s="60"/>
      <c r="F559" s="602"/>
      <c r="G559" s="728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</row>
    <row r="560" spans="1:27" s="106" customFormat="1">
      <c r="A560" s="61"/>
      <c r="B560" s="61"/>
      <c r="C560" s="60"/>
      <c r="D560" s="569"/>
      <c r="E560" s="60"/>
      <c r="F560" s="602"/>
      <c r="G560" s="728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</row>
    <row r="561" spans="1:27" s="106" customFormat="1">
      <c r="A561" s="61"/>
      <c r="B561" s="61"/>
      <c r="C561" s="60"/>
      <c r="D561" s="569"/>
      <c r="E561" s="60"/>
      <c r="F561" s="602"/>
      <c r="G561" s="728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</row>
    <row r="562" spans="1:27" s="106" customFormat="1">
      <c r="A562" s="61"/>
      <c r="B562" s="61"/>
      <c r="C562" s="60"/>
      <c r="D562" s="569"/>
      <c r="E562" s="60"/>
      <c r="F562" s="602"/>
      <c r="G562" s="728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</row>
    <row r="563" spans="1:27" s="106" customFormat="1">
      <c r="A563" s="61"/>
      <c r="B563" s="61"/>
      <c r="C563" s="60"/>
      <c r="D563" s="569"/>
      <c r="E563" s="60"/>
      <c r="F563" s="602"/>
      <c r="G563" s="728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</row>
    <row r="564" spans="1:27" s="106" customFormat="1">
      <c r="A564" s="61"/>
      <c r="B564" s="61"/>
      <c r="C564" s="60"/>
      <c r="D564" s="569"/>
      <c r="E564" s="60"/>
      <c r="F564" s="602"/>
      <c r="G564" s="728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</row>
    <row r="565" spans="1:27" s="106" customFormat="1">
      <c r="A565" s="61"/>
      <c r="B565" s="61"/>
      <c r="C565" s="60"/>
      <c r="D565" s="569"/>
      <c r="E565" s="60"/>
      <c r="F565" s="602"/>
      <c r="G565" s="728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</row>
    <row r="566" spans="1:27" s="106" customFormat="1">
      <c r="A566" s="61"/>
      <c r="B566" s="61"/>
      <c r="C566" s="60"/>
      <c r="D566" s="569"/>
      <c r="E566" s="60"/>
      <c r="F566" s="602"/>
      <c r="G566" s="728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</row>
    <row r="567" spans="1:27" s="106" customFormat="1">
      <c r="A567" s="61"/>
      <c r="B567" s="61"/>
      <c r="C567" s="60"/>
      <c r="D567" s="569"/>
      <c r="E567" s="60"/>
      <c r="F567" s="602"/>
      <c r="G567" s="728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</row>
    <row r="568" spans="1:27" s="106" customFormat="1">
      <c r="A568" s="61"/>
      <c r="B568" s="61"/>
      <c r="C568" s="60"/>
      <c r="D568" s="569"/>
      <c r="E568" s="60"/>
      <c r="F568" s="602"/>
      <c r="G568" s="728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</row>
    <row r="569" spans="1:27" s="106" customFormat="1">
      <c r="A569" s="61"/>
      <c r="B569" s="61"/>
      <c r="C569" s="60"/>
      <c r="D569" s="569"/>
      <c r="E569" s="60"/>
      <c r="F569" s="602"/>
      <c r="G569" s="728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</row>
    <row r="570" spans="1:27" s="106" customFormat="1">
      <c r="A570" s="61"/>
      <c r="B570" s="61"/>
      <c r="C570" s="60"/>
      <c r="D570" s="569"/>
      <c r="E570" s="60"/>
      <c r="F570" s="602"/>
      <c r="G570" s="728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</row>
    <row r="571" spans="1:27" s="106" customFormat="1">
      <c r="A571" s="61"/>
      <c r="B571" s="61"/>
      <c r="C571" s="60"/>
      <c r="D571" s="569"/>
      <c r="E571" s="60"/>
      <c r="F571" s="602"/>
      <c r="G571" s="728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</row>
    <row r="572" spans="1:27" s="106" customFormat="1">
      <c r="A572" s="61"/>
      <c r="B572" s="61"/>
      <c r="C572" s="60"/>
      <c r="D572" s="569"/>
      <c r="E572" s="60"/>
      <c r="F572" s="602"/>
      <c r="G572" s="728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</row>
    <row r="573" spans="1:27" s="106" customFormat="1">
      <c r="A573" s="61"/>
      <c r="B573" s="61"/>
      <c r="C573" s="60"/>
      <c r="D573" s="569"/>
      <c r="E573" s="60"/>
      <c r="F573" s="602"/>
      <c r="G573" s="728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</row>
    <row r="574" spans="1:27" s="106" customFormat="1">
      <c r="A574" s="61"/>
      <c r="B574" s="61"/>
      <c r="C574" s="60"/>
      <c r="D574" s="569"/>
      <c r="E574" s="60"/>
      <c r="F574" s="602"/>
      <c r="G574" s="728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</row>
    <row r="575" spans="1:27" s="106" customFormat="1">
      <c r="A575" s="61"/>
      <c r="B575" s="61"/>
      <c r="C575" s="60"/>
      <c r="D575" s="569"/>
      <c r="E575" s="60"/>
      <c r="F575" s="602"/>
      <c r="G575" s="728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</row>
    <row r="576" spans="1:27" s="106" customFormat="1">
      <c r="A576" s="61"/>
      <c r="B576" s="61"/>
      <c r="C576" s="60"/>
      <c r="D576" s="569"/>
      <c r="E576" s="60"/>
      <c r="F576" s="602"/>
      <c r="G576" s="728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</row>
    <row r="577" spans="1:27" s="106" customFormat="1">
      <c r="A577" s="61"/>
      <c r="B577" s="61"/>
      <c r="C577" s="60"/>
      <c r="D577" s="569"/>
      <c r="E577" s="60"/>
      <c r="F577" s="602"/>
      <c r="G577" s="728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</row>
    <row r="578" spans="1:27" s="106" customFormat="1">
      <c r="A578" s="61"/>
      <c r="B578" s="61"/>
      <c r="C578" s="60"/>
      <c r="D578" s="569"/>
      <c r="E578" s="60"/>
      <c r="F578" s="602"/>
      <c r="G578" s="728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</row>
    <row r="579" spans="1:27" s="106" customFormat="1">
      <c r="A579" s="61"/>
      <c r="B579" s="61"/>
      <c r="C579" s="60"/>
      <c r="D579" s="569"/>
      <c r="E579" s="60"/>
      <c r="F579" s="602"/>
      <c r="G579" s="728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</row>
    <row r="580" spans="1:27" s="106" customFormat="1">
      <c r="A580" s="61"/>
      <c r="B580" s="61"/>
      <c r="C580" s="60"/>
      <c r="D580" s="569"/>
      <c r="E580" s="60"/>
      <c r="F580" s="602"/>
      <c r="G580" s="728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</row>
    <row r="581" spans="1:27" s="106" customFormat="1">
      <c r="A581" s="61"/>
      <c r="B581" s="61"/>
      <c r="C581" s="60"/>
      <c r="D581" s="569"/>
      <c r="E581" s="60"/>
      <c r="F581" s="602"/>
      <c r="G581" s="728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</row>
    <row r="582" spans="1:27" s="106" customFormat="1">
      <c r="A582" s="61"/>
      <c r="B582" s="61"/>
      <c r="C582" s="60"/>
      <c r="D582" s="569"/>
      <c r="E582" s="60"/>
      <c r="F582" s="602"/>
      <c r="G582" s="728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</row>
    <row r="583" spans="1:27" s="106" customFormat="1">
      <c r="A583" s="61"/>
      <c r="B583" s="61"/>
      <c r="C583" s="60"/>
      <c r="D583" s="569"/>
      <c r="E583" s="60"/>
      <c r="F583" s="602"/>
      <c r="G583" s="728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</row>
    <row r="584" spans="1:27" s="106" customFormat="1">
      <c r="A584" s="61"/>
      <c r="B584" s="61"/>
      <c r="C584" s="60"/>
      <c r="D584" s="569"/>
      <c r="E584" s="60"/>
      <c r="F584" s="602"/>
      <c r="G584" s="728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</row>
    <row r="585" spans="1:27" s="106" customFormat="1">
      <c r="A585" s="61"/>
      <c r="B585" s="61"/>
      <c r="C585" s="60"/>
      <c r="D585" s="569"/>
      <c r="E585" s="60"/>
      <c r="F585" s="602"/>
      <c r="G585" s="728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</row>
    <row r="586" spans="1:27" s="106" customFormat="1">
      <c r="A586" s="61"/>
      <c r="B586" s="61"/>
      <c r="C586" s="60"/>
      <c r="D586" s="569"/>
      <c r="E586" s="60"/>
      <c r="F586" s="602"/>
      <c r="G586" s="728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</row>
    <row r="587" spans="1:27" s="106" customFormat="1">
      <c r="A587" s="61"/>
      <c r="B587" s="61"/>
      <c r="C587" s="60"/>
      <c r="D587" s="569"/>
      <c r="E587" s="60"/>
      <c r="F587" s="602"/>
      <c r="G587" s="728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</row>
    <row r="588" spans="1:27" s="106" customFormat="1">
      <c r="A588" s="61"/>
      <c r="B588" s="61"/>
      <c r="C588" s="60"/>
      <c r="D588" s="569"/>
      <c r="E588" s="60"/>
      <c r="F588" s="602"/>
      <c r="G588" s="728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</row>
    <row r="589" spans="1:27" s="106" customFormat="1">
      <c r="A589" s="61"/>
      <c r="B589" s="61"/>
      <c r="C589" s="60"/>
      <c r="D589" s="569"/>
      <c r="E589" s="60"/>
      <c r="F589" s="602"/>
      <c r="G589" s="728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</row>
    <row r="590" spans="1:27" s="106" customFormat="1">
      <c r="A590" s="61"/>
      <c r="B590" s="61"/>
      <c r="C590" s="60"/>
      <c r="D590" s="569"/>
      <c r="E590" s="60"/>
      <c r="F590" s="602"/>
      <c r="G590" s="728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</row>
    <row r="591" spans="1:27" s="106" customFormat="1">
      <c r="A591" s="61"/>
      <c r="B591" s="61"/>
      <c r="C591" s="60"/>
      <c r="D591" s="569"/>
      <c r="E591" s="60"/>
      <c r="F591" s="602"/>
      <c r="G591" s="728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</row>
    <row r="592" spans="1:27" s="106" customFormat="1">
      <c r="A592" s="61"/>
      <c r="B592" s="61"/>
      <c r="C592" s="60"/>
      <c r="D592" s="569"/>
      <c r="E592" s="60"/>
      <c r="F592" s="602"/>
      <c r="G592" s="728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</row>
    <row r="593" spans="1:27" s="106" customFormat="1">
      <c r="A593" s="61"/>
      <c r="B593" s="61"/>
      <c r="C593" s="60"/>
      <c r="D593" s="569"/>
      <c r="E593" s="60"/>
      <c r="F593" s="602"/>
      <c r="G593" s="728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</row>
    <row r="594" spans="1:27" s="106" customFormat="1">
      <c r="A594" s="61"/>
      <c r="B594" s="61"/>
      <c r="C594" s="60"/>
      <c r="D594" s="569"/>
      <c r="E594" s="60"/>
      <c r="F594" s="602"/>
      <c r="G594" s="728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</row>
    <row r="595" spans="1:27" s="106" customFormat="1">
      <c r="A595" s="61"/>
      <c r="B595" s="61"/>
      <c r="C595" s="60"/>
      <c r="D595" s="569"/>
      <c r="E595" s="60"/>
      <c r="F595" s="602"/>
      <c r="G595" s="728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</row>
    <row r="596" spans="1:27" s="106" customFormat="1">
      <c r="A596" s="61"/>
      <c r="B596" s="61"/>
      <c r="C596" s="60"/>
      <c r="D596" s="569"/>
      <c r="E596" s="60"/>
      <c r="F596" s="602"/>
      <c r="G596" s="728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</row>
    <row r="597" spans="1:27" s="106" customFormat="1">
      <c r="A597" s="61"/>
      <c r="B597" s="61"/>
      <c r="C597" s="60"/>
      <c r="D597" s="569"/>
      <c r="E597" s="60"/>
      <c r="F597" s="602"/>
      <c r="G597" s="728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</row>
    <row r="598" spans="1:27" s="106" customFormat="1">
      <c r="A598" s="61"/>
      <c r="B598" s="61"/>
      <c r="C598" s="60"/>
      <c r="D598" s="569"/>
      <c r="E598" s="60"/>
      <c r="F598" s="602"/>
      <c r="G598" s="728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</row>
    <row r="599" spans="1:27" s="106" customFormat="1">
      <c r="A599" s="61"/>
      <c r="B599" s="61"/>
      <c r="C599" s="60"/>
      <c r="D599" s="569"/>
      <c r="E599" s="60"/>
      <c r="F599" s="602"/>
      <c r="G599" s="728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</row>
    <row r="600" spans="1:27" s="106" customFormat="1">
      <c r="A600" s="61"/>
      <c r="B600" s="61"/>
      <c r="C600" s="60"/>
      <c r="D600" s="569"/>
      <c r="E600" s="60"/>
      <c r="F600" s="602"/>
      <c r="G600" s="728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</row>
    <row r="601" spans="1:27" s="106" customFormat="1">
      <c r="A601" s="61"/>
      <c r="B601" s="61"/>
      <c r="C601" s="60"/>
      <c r="D601" s="569"/>
      <c r="E601" s="60"/>
      <c r="F601" s="602"/>
      <c r="G601" s="728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</row>
    <row r="602" spans="1:27" s="106" customFormat="1">
      <c r="A602" s="61"/>
      <c r="B602" s="61"/>
      <c r="C602" s="60"/>
      <c r="D602" s="569"/>
      <c r="E602" s="60"/>
      <c r="F602" s="602"/>
      <c r="G602" s="728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</row>
    <row r="603" spans="1:27" s="106" customFormat="1">
      <c r="A603" s="61"/>
      <c r="B603" s="61"/>
      <c r="C603" s="60"/>
      <c r="D603" s="569"/>
      <c r="E603" s="60"/>
      <c r="F603" s="602"/>
      <c r="G603" s="728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</row>
    <row r="604" spans="1:27" s="106" customFormat="1">
      <c r="A604" s="61"/>
      <c r="B604" s="61"/>
      <c r="C604" s="60"/>
      <c r="D604" s="569"/>
      <c r="E604" s="60"/>
      <c r="F604" s="602"/>
      <c r="G604" s="728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</row>
    <row r="605" spans="1:27" s="106" customFormat="1">
      <c r="A605" s="61"/>
      <c r="B605" s="61"/>
      <c r="C605" s="60"/>
      <c r="D605" s="569"/>
      <c r="E605" s="60"/>
      <c r="F605" s="602"/>
      <c r="G605" s="728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</row>
    <row r="606" spans="1:27" s="106" customFormat="1">
      <c r="A606" s="61"/>
      <c r="B606" s="61"/>
      <c r="C606" s="60"/>
      <c r="D606" s="569"/>
      <c r="E606" s="60"/>
      <c r="F606" s="602"/>
      <c r="G606" s="728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</row>
    <row r="607" spans="1:27" s="106" customFormat="1">
      <c r="A607" s="61"/>
      <c r="B607" s="61"/>
      <c r="C607" s="60"/>
      <c r="D607" s="569"/>
      <c r="E607" s="60"/>
      <c r="F607" s="602"/>
      <c r="G607" s="728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</row>
    <row r="608" spans="1:27" s="106" customFormat="1">
      <c r="A608" s="61"/>
      <c r="B608" s="61"/>
      <c r="C608" s="60"/>
      <c r="D608" s="569"/>
      <c r="E608" s="60"/>
      <c r="F608" s="602"/>
      <c r="G608" s="728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</row>
    <row r="609" spans="1:27" s="106" customFormat="1">
      <c r="A609" s="61"/>
      <c r="B609" s="61"/>
      <c r="C609" s="60"/>
      <c r="D609" s="569"/>
      <c r="E609" s="60"/>
      <c r="F609" s="602"/>
      <c r="G609" s="728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</row>
    <row r="610" spans="1:27" s="106" customFormat="1">
      <c r="A610" s="61"/>
      <c r="B610" s="61"/>
      <c r="C610" s="60"/>
      <c r="D610" s="569"/>
      <c r="E610" s="60"/>
      <c r="F610" s="602"/>
      <c r="G610" s="728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</row>
    <row r="611" spans="1:27" s="106" customFormat="1">
      <c r="A611" s="61"/>
      <c r="B611" s="61"/>
      <c r="C611" s="60"/>
      <c r="D611" s="569"/>
      <c r="E611" s="60"/>
      <c r="F611" s="602"/>
      <c r="G611" s="728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</row>
    <row r="612" spans="1:27" s="106" customFormat="1">
      <c r="A612" s="61"/>
      <c r="B612" s="61"/>
      <c r="C612" s="60"/>
      <c r="D612" s="569"/>
      <c r="E612" s="60"/>
      <c r="F612" s="602"/>
      <c r="G612" s="728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</row>
    <row r="613" spans="1:27" s="106" customFormat="1">
      <c r="A613" s="61"/>
      <c r="B613" s="61"/>
      <c r="C613" s="60"/>
      <c r="D613" s="569"/>
      <c r="E613" s="60"/>
      <c r="F613" s="602"/>
      <c r="G613" s="728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</row>
    <row r="614" spans="1:27" s="106" customFormat="1">
      <c r="A614" s="61"/>
      <c r="B614" s="61"/>
      <c r="C614" s="60"/>
      <c r="D614" s="569"/>
      <c r="E614" s="60"/>
      <c r="F614" s="602"/>
      <c r="G614" s="728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</row>
    <row r="615" spans="1:27" s="106" customFormat="1">
      <c r="A615" s="61"/>
      <c r="B615" s="61"/>
      <c r="C615" s="60"/>
      <c r="D615" s="569"/>
      <c r="E615" s="60"/>
      <c r="F615" s="602"/>
      <c r="G615" s="728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</row>
    <row r="616" spans="1:27" s="106" customFormat="1">
      <c r="A616" s="61"/>
      <c r="B616" s="61"/>
      <c r="C616" s="60"/>
      <c r="D616" s="569"/>
      <c r="E616" s="60"/>
      <c r="F616" s="602"/>
      <c r="G616" s="728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</row>
    <row r="617" spans="1:27" s="106" customFormat="1">
      <c r="A617" s="61"/>
      <c r="B617" s="61"/>
      <c r="C617" s="60"/>
      <c r="D617" s="569"/>
      <c r="E617" s="60"/>
      <c r="F617" s="602"/>
      <c r="G617" s="728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</row>
    <row r="618" spans="1:27" s="106" customFormat="1">
      <c r="A618" s="61"/>
      <c r="B618" s="61"/>
      <c r="C618" s="60"/>
      <c r="D618" s="569"/>
      <c r="E618" s="60"/>
      <c r="F618" s="602"/>
      <c r="G618" s="728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</row>
    <row r="619" spans="1:27" s="106" customFormat="1">
      <c r="A619" s="61"/>
      <c r="B619" s="61"/>
      <c r="C619" s="60"/>
      <c r="D619" s="569"/>
      <c r="E619" s="60"/>
      <c r="F619" s="602"/>
      <c r="G619" s="728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</row>
    <row r="620" spans="1:27" s="106" customFormat="1">
      <c r="A620" s="61"/>
      <c r="B620" s="61"/>
      <c r="C620" s="60"/>
      <c r="D620" s="569"/>
      <c r="E620" s="60"/>
      <c r="F620" s="602"/>
      <c r="G620" s="728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</row>
    <row r="621" spans="1:27" s="106" customFormat="1">
      <c r="A621" s="61"/>
      <c r="B621" s="61"/>
      <c r="C621" s="60"/>
      <c r="D621" s="569"/>
      <c r="E621" s="60"/>
      <c r="F621" s="602"/>
      <c r="G621" s="728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</row>
    <row r="622" spans="1:27" s="106" customFormat="1">
      <c r="A622" s="61"/>
      <c r="B622" s="61"/>
      <c r="C622" s="60"/>
      <c r="D622" s="569"/>
      <c r="E622" s="60"/>
      <c r="F622" s="602"/>
      <c r="G622" s="728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</row>
    <row r="623" spans="1:27" s="106" customFormat="1">
      <c r="A623" s="61"/>
      <c r="B623" s="61"/>
      <c r="C623" s="60"/>
      <c r="D623" s="569"/>
      <c r="E623" s="60"/>
      <c r="F623" s="602"/>
      <c r="G623" s="728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</row>
    <row r="624" spans="1:27" s="106" customFormat="1">
      <c r="A624" s="61"/>
      <c r="B624" s="61"/>
      <c r="C624" s="60"/>
      <c r="D624" s="569"/>
      <c r="E624" s="60"/>
      <c r="F624" s="602"/>
      <c r="G624" s="728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</row>
    <row r="625" spans="1:27" s="106" customFormat="1">
      <c r="A625" s="61"/>
      <c r="B625" s="61"/>
      <c r="C625" s="60"/>
      <c r="D625" s="569"/>
      <c r="E625" s="60"/>
      <c r="F625" s="602"/>
      <c r="G625" s="728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</row>
    <row r="626" spans="1:27" s="106" customFormat="1">
      <c r="A626" s="61"/>
      <c r="B626" s="61"/>
      <c r="C626" s="60"/>
      <c r="D626" s="569"/>
      <c r="E626" s="60"/>
      <c r="F626" s="602"/>
      <c r="G626" s="728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</row>
    <row r="627" spans="1:27" s="106" customFormat="1">
      <c r="A627" s="61"/>
      <c r="B627" s="61"/>
      <c r="C627" s="60"/>
      <c r="D627" s="569"/>
      <c r="E627" s="60"/>
      <c r="F627" s="602"/>
      <c r="G627" s="728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</row>
    <row r="628" spans="1:27" s="106" customFormat="1">
      <c r="A628" s="61"/>
      <c r="B628" s="61"/>
      <c r="C628" s="60"/>
      <c r="D628" s="569"/>
      <c r="E628" s="60"/>
      <c r="F628" s="602"/>
      <c r="G628" s="728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</row>
    <row r="629" spans="1:27" s="106" customFormat="1">
      <c r="A629" s="61"/>
      <c r="B629" s="61"/>
      <c r="C629" s="60"/>
      <c r="D629" s="569"/>
      <c r="E629" s="60"/>
      <c r="F629" s="602"/>
      <c r="G629" s="728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</row>
    <row r="630" spans="1:27" s="106" customFormat="1">
      <c r="A630" s="61"/>
      <c r="B630" s="61"/>
      <c r="C630" s="60"/>
      <c r="D630" s="569"/>
      <c r="E630" s="60"/>
      <c r="F630" s="602"/>
      <c r="G630" s="728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</row>
    <row r="631" spans="1:27" s="106" customFormat="1">
      <c r="A631" s="61"/>
      <c r="B631" s="61"/>
      <c r="C631" s="60"/>
      <c r="D631" s="569"/>
      <c r="E631" s="60"/>
      <c r="F631" s="602"/>
      <c r="G631" s="728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</row>
    <row r="632" spans="1:27" s="106" customFormat="1">
      <c r="A632" s="61"/>
      <c r="B632" s="61"/>
      <c r="C632" s="60"/>
      <c r="D632" s="569"/>
      <c r="E632" s="60"/>
      <c r="F632" s="602"/>
      <c r="G632" s="728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</row>
    <row r="633" spans="1:27" s="106" customFormat="1">
      <c r="A633" s="61"/>
      <c r="B633" s="61"/>
      <c r="C633" s="60"/>
      <c r="D633" s="569"/>
      <c r="E633" s="60"/>
      <c r="F633" s="602"/>
      <c r="G633" s="728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</row>
    <row r="634" spans="1:27" s="106" customFormat="1">
      <c r="A634" s="61"/>
      <c r="B634" s="61"/>
      <c r="C634" s="60"/>
      <c r="D634" s="569"/>
      <c r="E634" s="60"/>
      <c r="F634" s="602"/>
      <c r="G634" s="728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</row>
    <row r="635" spans="1:27" s="106" customFormat="1">
      <c r="A635" s="61"/>
      <c r="B635" s="61"/>
      <c r="C635" s="60"/>
      <c r="D635" s="569"/>
      <c r="E635" s="60"/>
      <c r="F635" s="602"/>
      <c r="G635" s="728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</row>
    <row r="636" spans="1:27" s="106" customFormat="1">
      <c r="A636" s="61"/>
      <c r="B636" s="61"/>
      <c r="C636" s="60"/>
      <c r="D636" s="569"/>
      <c r="E636" s="60"/>
      <c r="F636" s="602"/>
      <c r="G636" s="728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</row>
    <row r="637" spans="1:27" s="106" customFormat="1">
      <c r="A637" s="61"/>
      <c r="B637" s="61"/>
      <c r="C637" s="60"/>
      <c r="D637" s="569"/>
      <c r="E637" s="60"/>
      <c r="F637" s="602"/>
      <c r="G637" s="728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</row>
    <row r="638" spans="1:27" s="106" customFormat="1">
      <c r="A638" s="61"/>
      <c r="B638" s="61"/>
      <c r="C638" s="60"/>
      <c r="D638" s="569"/>
      <c r="E638" s="60"/>
      <c r="F638" s="602"/>
      <c r="G638" s="728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</row>
    <row r="639" spans="1:27" s="106" customFormat="1">
      <c r="A639" s="61"/>
      <c r="B639" s="61"/>
      <c r="C639" s="60"/>
      <c r="D639" s="569"/>
      <c r="E639" s="60"/>
      <c r="F639" s="602"/>
      <c r="G639" s="728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</row>
    <row r="640" spans="1:27" s="106" customFormat="1">
      <c r="A640" s="61"/>
      <c r="B640" s="61"/>
      <c r="C640" s="60"/>
      <c r="D640" s="569"/>
      <c r="E640" s="60"/>
      <c r="F640" s="602"/>
      <c r="G640" s="728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</row>
    <row r="641" spans="1:27" s="106" customFormat="1">
      <c r="A641" s="61"/>
      <c r="B641" s="61"/>
      <c r="C641" s="60"/>
      <c r="D641" s="569"/>
      <c r="E641" s="60"/>
      <c r="F641" s="602"/>
      <c r="G641" s="728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</row>
    <row r="642" spans="1:27" s="106" customFormat="1">
      <c r="A642" s="61"/>
      <c r="B642" s="61"/>
      <c r="C642" s="60"/>
      <c r="D642" s="569"/>
      <c r="E642" s="60"/>
      <c r="F642" s="602"/>
      <c r="G642" s="728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</row>
    <row r="643" spans="1:27" s="106" customFormat="1">
      <c r="A643" s="61"/>
      <c r="B643" s="61"/>
      <c r="C643" s="60"/>
      <c r="D643" s="569"/>
      <c r="E643" s="60"/>
      <c r="F643" s="602"/>
      <c r="G643" s="728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</row>
    <row r="644" spans="1:27" s="106" customFormat="1">
      <c r="A644" s="61"/>
      <c r="B644" s="61"/>
      <c r="C644" s="60"/>
      <c r="D644" s="569"/>
      <c r="E644" s="60"/>
      <c r="F644" s="602"/>
      <c r="G644" s="728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</row>
    <row r="645" spans="1:27" s="106" customFormat="1">
      <c r="A645" s="61"/>
      <c r="B645" s="61"/>
      <c r="C645" s="60"/>
      <c r="D645" s="569"/>
      <c r="E645" s="60"/>
      <c r="F645" s="602"/>
      <c r="G645" s="728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</row>
    <row r="646" spans="1:27" s="106" customFormat="1">
      <c r="A646" s="61"/>
      <c r="B646" s="61"/>
      <c r="C646" s="60"/>
      <c r="D646" s="569"/>
      <c r="E646" s="60"/>
      <c r="F646" s="602"/>
      <c r="G646" s="728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</row>
    <row r="647" spans="1:27" s="106" customFormat="1">
      <c r="A647" s="61"/>
      <c r="B647" s="61"/>
      <c r="C647" s="60"/>
      <c r="D647" s="569"/>
      <c r="E647" s="60"/>
      <c r="F647" s="602"/>
      <c r="G647" s="728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</row>
    <row r="648" spans="1:27" s="106" customFormat="1">
      <c r="A648" s="61"/>
      <c r="B648" s="61"/>
      <c r="C648" s="60"/>
      <c r="D648" s="569"/>
      <c r="E648" s="60"/>
      <c r="F648" s="602"/>
      <c r="G648" s="728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</row>
    <row r="649" spans="1:27" s="106" customFormat="1">
      <c r="A649" s="61"/>
      <c r="B649" s="61"/>
      <c r="C649" s="60"/>
      <c r="D649" s="569"/>
      <c r="E649" s="60"/>
      <c r="F649" s="602"/>
      <c r="G649" s="728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</row>
    <row r="650" spans="1:27" s="106" customFormat="1">
      <c r="A650" s="61"/>
      <c r="B650" s="61"/>
      <c r="C650" s="60"/>
      <c r="D650" s="569"/>
      <c r="E650" s="60"/>
      <c r="F650" s="602"/>
      <c r="G650" s="728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</row>
    <row r="651" spans="1:27" s="106" customFormat="1">
      <c r="A651" s="61"/>
      <c r="B651" s="61"/>
      <c r="C651" s="60"/>
      <c r="D651" s="569"/>
      <c r="E651" s="60"/>
      <c r="F651" s="602"/>
      <c r="G651" s="728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</row>
    <row r="652" spans="1:27" s="106" customFormat="1">
      <c r="A652" s="61"/>
      <c r="B652" s="61"/>
      <c r="C652" s="60"/>
      <c r="D652" s="569"/>
      <c r="E652" s="60"/>
      <c r="F652" s="602"/>
      <c r="G652" s="728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</row>
    <row r="653" spans="1:27" s="106" customFormat="1">
      <c r="A653" s="61"/>
      <c r="B653" s="61"/>
      <c r="C653" s="60"/>
      <c r="D653" s="569"/>
      <c r="E653" s="60"/>
      <c r="F653" s="602"/>
      <c r="G653" s="728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</row>
    <row r="654" spans="1:27" s="106" customFormat="1">
      <c r="A654" s="61"/>
      <c r="B654" s="61"/>
      <c r="C654" s="60"/>
      <c r="D654" s="569"/>
      <c r="E654" s="60"/>
      <c r="F654" s="602"/>
      <c r="G654" s="728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</row>
    <row r="655" spans="1:27" s="106" customFormat="1">
      <c r="A655" s="61"/>
      <c r="B655" s="61"/>
      <c r="C655" s="60"/>
      <c r="D655" s="569"/>
      <c r="E655" s="60"/>
      <c r="F655" s="602"/>
      <c r="G655" s="728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</row>
    <row r="656" spans="1:27" s="106" customFormat="1">
      <c r="A656" s="61"/>
      <c r="B656" s="61"/>
      <c r="C656" s="60"/>
      <c r="D656" s="569"/>
      <c r="E656" s="60"/>
      <c r="F656" s="602"/>
      <c r="G656" s="728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</row>
    <row r="657" spans="1:27" s="106" customFormat="1">
      <c r="A657" s="61"/>
      <c r="B657" s="61"/>
      <c r="C657" s="60"/>
      <c r="D657" s="569"/>
      <c r="E657" s="60"/>
      <c r="F657" s="602"/>
      <c r="G657" s="728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</row>
    <row r="658" spans="1:27" s="106" customFormat="1">
      <c r="A658" s="61"/>
      <c r="B658" s="61"/>
      <c r="C658" s="60"/>
      <c r="D658" s="569"/>
      <c r="E658" s="60"/>
      <c r="F658" s="602"/>
      <c r="G658" s="728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</row>
    <row r="659" spans="1:27" s="106" customFormat="1">
      <c r="A659" s="61"/>
      <c r="B659" s="61"/>
      <c r="C659" s="60"/>
      <c r="D659" s="569"/>
      <c r="E659" s="60"/>
      <c r="F659" s="602"/>
      <c r="G659" s="728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</row>
    <row r="660" spans="1:27" s="106" customFormat="1">
      <c r="A660" s="61"/>
      <c r="B660" s="61"/>
      <c r="C660" s="60"/>
      <c r="D660" s="569"/>
      <c r="E660" s="60"/>
      <c r="F660" s="602"/>
      <c r="G660" s="728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</row>
    <row r="661" spans="1:27" s="106" customFormat="1">
      <c r="A661" s="61"/>
      <c r="B661" s="61"/>
      <c r="C661" s="60"/>
      <c r="D661" s="569"/>
      <c r="E661" s="60"/>
      <c r="F661" s="602"/>
      <c r="G661" s="728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</row>
    <row r="662" spans="1:27" s="106" customFormat="1">
      <c r="A662" s="61"/>
      <c r="B662" s="61"/>
      <c r="C662" s="60"/>
      <c r="D662" s="569"/>
      <c r="E662" s="60"/>
      <c r="F662" s="602"/>
      <c r="G662" s="728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</row>
    <row r="663" spans="1:27" s="106" customFormat="1">
      <c r="A663" s="61"/>
      <c r="B663" s="61"/>
      <c r="C663" s="60"/>
      <c r="D663" s="569"/>
      <c r="E663" s="60"/>
      <c r="F663" s="602"/>
      <c r="G663" s="728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</row>
    <row r="664" spans="1:27" s="106" customFormat="1">
      <c r="A664" s="61"/>
      <c r="B664" s="61"/>
      <c r="C664" s="60"/>
      <c r="D664" s="569"/>
      <c r="E664" s="60"/>
      <c r="F664" s="602"/>
      <c r="G664" s="728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</row>
    <row r="665" spans="1:27" s="106" customFormat="1">
      <c r="A665" s="61"/>
      <c r="B665" s="61"/>
      <c r="C665" s="60"/>
      <c r="D665" s="569"/>
      <c r="E665" s="60"/>
      <c r="F665" s="602"/>
      <c r="G665" s="728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</row>
    <row r="666" spans="1:27" s="106" customFormat="1">
      <c r="A666" s="61"/>
      <c r="B666" s="61"/>
      <c r="C666" s="60"/>
      <c r="D666" s="569"/>
      <c r="E666" s="60"/>
      <c r="F666" s="602"/>
      <c r="G666" s="728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</row>
    <row r="667" spans="1:27" s="106" customFormat="1">
      <c r="A667" s="61"/>
      <c r="B667" s="61"/>
      <c r="C667" s="60"/>
      <c r="D667" s="569"/>
      <c r="E667" s="60"/>
      <c r="F667" s="602"/>
      <c r="G667" s="728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</row>
    <row r="668" spans="1:27" s="106" customFormat="1">
      <c r="A668" s="61"/>
      <c r="B668" s="61"/>
      <c r="C668" s="60"/>
      <c r="D668" s="569"/>
      <c r="E668" s="60"/>
      <c r="F668" s="602"/>
      <c r="G668" s="728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</row>
    <row r="669" spans="1:27" s="106" customFormat="1">
      <c r="A669" s="61"/>
      <c r="B669" s="61"/>
      <c r="C669" s="60"/>
      <c r="D669" s="569"/>
      <c r="E669" s="60"/>
      <c r="F669" s="602"/>
      <c r="G669" s="728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</row>
    <row r="670" spans="1:27" s="106" customFormat="1">
      <c r="A670" s="61"/>
      <c r="B670" s="61"/>
      <c r="C670" s="60"/>
      <c r="D670" s="569"/>
      <c r="E670" s="60"/>
      <c r="F670" s="602"/>
      <c r="G670" s="728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</row>
    <row r="671" spans="1:27" s="106" customFormat="1">
      <c r="A671" s="61"/>
      <c r="B671" s="61"/>
      <c r="C671" s="60"/>
      <c r="D671" s="569"/>
      <c r="E671" s="60"/>
      <c r="F671" s="602"/>
      <c r="G671" s="728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</row>
    <row r="672" spans="1:27" s="106" customFormat="1">
      <c r="A672" s="61"/>
      <c r="B672" s="61"/>
      <c r="C672" s="60"/>
      <c r="D672" s="569"/>
      <c r="E672" s="60"/>
      <c r="F672" s="602"/>
      <c r="G672" s="728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</row>
    <row r="673" spans="1:27" s="106" customFormat="1">
      <c r="A673" s="61"/>
      <c r="B673" s="61"/>
      <c r="C673" s="60"/>
      <c r="D673" s="569"/>
      <c r="E673" s="60"/>
      <c r="F673" s="602"/>
      <c r="G673" s="728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</row>
    <row r="674" spans="1:27" s="106" customFormat="1">
      <c r="A674" s="61"/>
      <c r="B674" s="61"/>
      <c r="C674" s="60"/>
      <c r="D674" s="569"/>
      <c r="E674" s="60"/>
      <c r="F674" s="602"/>
      <c r="G674" s="728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</row>
    <row r="675" spans="1:27" s="106" customFormat="1">
      <c r="A675" s="61"/>
      <c r="B675" s="61"/>
      <c r="C675" s="60"/>
      <c r="D675" s="569"/>
      <c r="E675" s="60"/>
      <c r="F675" s="602"/>
      <c r="G675" s="728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</row>
    <row r="676" spans="1:27" s="106" customFormat="1">
      <c r="A676" s="61"/>
      <c r="B676" s="61"/>
      <c r="C676" s="60"/>
      <c r="D676" s="569"/>
      <c r="E676" s="60"/>
      <c r="F676" s="602"/>
      <c r="G676" s="728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</row>
    <row r="677" spans="1:27" s="106" customFormat="1">
      <c r="A677" s="61"/>
      <c r="B677" s="61"/>
      <c r="C677" s="60"/>
      <c r="D677" s="569"/>
      <c r="E677" s="60"/>
      <c r="F677" s="602"/>
      <c r="G677" s="728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</row>
    <row r="678" spans="1:27" s="106" customFormat="1">
      <c r="A678" s="61"/>
      <c r="B678" s="61"/>
      <c r="C678" s="60"/>
      <c r="D678" s="569"/>
      <c r="E678" s="60"/>
      <c r="F678" s="602"/>
      <c r="G678" s="728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</row>
  </sheetData>
  <autoFilter ref="A29:E29"/>
  <mergeCells count="2">
    <mergeCell ref="A8:I8"/>
    <mergeCell ref="A20:AB20"/>
  </mergeCells>
  <pageMargins left="0.70866141732283472" right="0.70866141732283472" top="0.74803149606299213" bottom="0.74803149606299213" header="0.31496062992125984" footer="0.31496062992125984"/>
  <pageSetup paperSize="9" scale="35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0"/>
  <sheetViews>
    <sheetView zoomScaleNormal="100" workbookViewId="0">
      <pane ySplit="1" topLeftCell="A2" activePane="bottomLeft" state="frozen"/>
      <selection activeCell="H381" sqref="H381"/>
      <selection pane="bottomLeft" activeCell="J366" sqref="J366"/>
    </sheetView>
  </sheetViews>
  <sheetFormatPr defaultRowHeight="12.75"/>
  <cols>
    <col min="1" max="1" width="6.140625" bestFit="1" customWidth="1"/>
    <col min="2" max="2" width="19.7109375" customWidth="1"/>
    <col min="3" max="3" width="62.85546875" customWidth="1"/>
    <col min="4" max="4" width="9.7109375" bestFit="1" customWidth="1"/>
    <col min="5" max="5" width="9.7109375" hidden="1" customWidth="1"/>
    <col min="6" max="7" width="18.85546875" style="210" customWidth="1"/>
    <col min="8" max="8" width="18" bestFit="1" customWidth="1"/>
    <col min="10" max="10" width="12.85546875" bestFit="1" customWidth="1"/>
  </cols>
  <sheetData>
    <row r="1" spans="1:8" ht="26.25" thickBot="1">
      <c r="A1" s="758" t="s">
        <v>120</v>
      </c>
      <c r="B1" s="307" t="s">
        <v>2048</v>
      </c>
      <c r="C1" s="307" t="s">
        <v>121</v>
      </c>
      <c r="D1" s="307" t="s">
        <v>1936</v>
      </c>
      <c r="E1" s="307"/>
      <c r="F1" s="308" t="s">
        <v>3899</v>
      </c>
      <c r="G1" s="308" t="s">
        <v>3478</v>
      </c>
      <c r="H1" s="759" t="s">
        <v>3901</v>
      </c>
    </row>
    <row r="2" spans="1:8">
      <c r="A2" s="760" t="s">
        <v>1842</v>
      </c>
      <c r="B2" s="761" t="s">
        <v>3902</v>
      </c>
      <c r="C2" s="761" t="s">
        <v>3903</v>
      </c>
      <c r="D2" s="762"/>
      <c r="E2" s="762"/>
      <c r="F2" s="763"/>
      <c r="G2" s="763"/>
    </row>
    <row r="3" spans="1:8">
      <c r="A3" s="760" t="s">
        <v>1960</v>
      </c>
      <c r="B3" s="310" t="s">
        <v>2843</v>
      </c>
      <c r="C3" s="310" t="s">
        <v>2844</v>
      </c>
      <c r="D3" s="321"/>
      <c r="E3" s="321"/>
      <c r="F3" s="326"/>
      <c r="G3" s="326"/>
    </row>
    <row r="4" spans="1:8">
      <c r="A4" s="760" t="s">
        <v>1963</v>
      </c>
      <c r="B4" s="310" t="s">
        <v>2845</v>
      </c>
      <c r="C4" s="310" t="s">
        <v>2846</v>
      </c>
      <c r="D4" s="321"/>
      <c r="E4" s="321"/>
      <c r="F4" s="326"/>
      <c r="G4" s="326"/>
    </row>
    <row r="5" spans="1:8">
      <c r="A5" s="760" t="s">
        <v>1965</v>
      </c>
      <c r="B5" s="310" t="s">
        <v>2847</v>
      </c>
      <c r="C5" s="310" t="s">
        <v>2848</v>
      </c>
      <c r="D5" s="321"/>
      <c r="E5" s="321"/>
      <c r="F5" s="326"/>
      <c r="G5" s="326"/>
    </row>
    <row r="6" spans="1:8">
      <c r="A6" s="760" t="s">
        <v>1967</v>
      </c>
      <c r="B6" s="310" t="s">
        <v>2849</v>
      </c>
      <c r="C6" s="310" t="s">
        <v>2850</v>
      </c>
      <c r="D6" s="321"/>
      <c r="E6" s="321"/>
      <c r="F6" s="326"/>
      <c r="G6" s="326"/>
    </row>
    <row r="7" spans="1:8">
      <c r="A7" s="312" t="s">
        <v>1969</v>
      </c>
      <c r="B7" s="312" t="s">
        <v>3904</v>
      </c>
      <c r="C7" s="313" t="s">
        <v>3479</v>
      </c>
      <c r="D7" s="764"/>
      <c r="E7" s="764" t="str">
        <f>+B6</f>
        <v>AAA020</v>
      </c>
      <c r="F7" s="327"/>
      <c r="G7" s="327"/>
    </row>
    <row r="8" spans="1:8">
      <c r="A8" s="760" t="s">
        <v>1967</v>
      </c>
      <c r="B8" s="310" t="s">
        <v>2851</v>
      </c>
      <c r="C8" s="310" t="s">
        <v>2852</v>
      </c>
      <c r="D8" s="321"/>
      <c r="E8" s="321"/>
      <c r="F8" s="326"/>
      <c r="G8" s="326"/>
    </row>
    <row r="9" spans="1:8">
      <c r="A9" s="312" t="s">
        <v>1969</v>
      </c>
      <c r="B9" s="312" t="s">
        <v>3905</v>
      </c>
      <c r="C9" s="313" t="s">
        <v>3480</v>
      </c>
      <c r="D9" s="764"/>
      <c r="E9" s="764" t="str">
        <f>+B8</f>
        <v>AAA030</v>
      </c>
      <c r="F9" s="327"/>
      <c r="G9" s="327"/>
      <c r="H9" t="s">
        <v>3906</v>
      </c>
    </row>
    <row r="10" spans="1:8">
      <c r="A10" s="760" t="s">
        <v>1965</v>
      </c>
      <c r="B10" s="310" t="s">
        <v>2853</v>
      </c>
      <c r="C10" s="310" t="s">
        <v>2854</v>
      </c>
      <c r="D10" s="321"/>
      <c r="E10" s="321"/>
      <c r="F10" s="326"/>
      <c r="G10" s="326"/>
    </row>
    <row r="11" spans="1:8">
      <c r="A11" s="760" t="s">
        <v>1967</v>
      </c>
      <c r="B11" s="310" t="s">
        <v>2855</v>
      </c>
      <c r="C11" s="310" t="s">
        <v>2856</v>
      </c>
      <c r="D11" s="321"/>
      <c r="E11" s="321"/>
      <c r="F11" s="326"/>
      <c r="G11" s="326"/>
    </row>
    <row r="12" spans="1:8">
      <c r="A12" s="312" t="s">
        <v>1969</v>
      </c>
      <c r="B12" s="312" t="s">
        <v>3907</v>
      </c>
      <c r="C12" s="313" t="s">
        <v>3481</v>
      </c>
      <c r="D12" s="764"/>
      <c r="E12" s="764" t="str">
        <f>+B11</f>
        <v>AAA050</v>
      </c>
      <c r="F12" s="327"/>
      <c r="G12" s="327"/>
    </row>
    <row r="13" spans="1:8">
      <c r="A13" s="760" t="s">
        <v>1967</v>
      </c>
      <c r="B13" s="310" t="s">
        <v>2857</v>
      </c>
      <c r="C13" s="310" t="s">
        <v>2858</v>
      </c>
      <c r="D13" s="321"/>
      <c r="E13" s="321"/>
      <c r="F13" s="326"/>
      <c r="G13" s="326"/>
    </row>
    <row r="14" spans="1:8">
      <c r="A14" s="312" t="s">
        <v>1969</v>
      </c>
      <c r="B14" s="312" t="s">
        <v>3908</v>
      </c>
      <c r="C14" s="313" t="s">
        <v>3482</v>
      </c>
      <c r="D14" s="764"/>
      <c r="E14" s="764" t="str">
        <f>+B13</f>
        <v>AAA060</v>
      </c>
      <c r="F14" s="327"/>
      <c r="G14" s="327"/>
      <c r="H14" t="s">
        <v>3906</v>
      </c>
    </row>
    <row r="15" spans="1:8">
      <c r="A15" s="760" t="s">
        <v>1965</v>
      </c>
      <c r="B15" s="310" t="s">
        <v>2859</v>
      </c>
      <c r="C15" s="310" t="s">
        <v>2860</v>
      </c>
      <c r="D15" s="321"/>
      <c r="E15" s="321"/>
      <c r="F15" s="326"/>
      <c r="G15" s="326"/>
    </row>
    <row r="16" spans="1:8" ht="25.5">
      <c r="A16" s="760" t="s">
        <v>1967</v>
      </c>
      <c r="B16" s="310" t="s">
        <v>2861</v>
      </c>
      <c r="C16" s="310" t="s">
        <v>3909</v>
      </c>
      <c r="D16" s="321"/>
      <c r="E16" s="321"/>
      <c r="F16" s="326"/>
      <c r="G16" s="326"/>
    </row>
    <row r="17" spans="1:8" ht="24">
      <c r="A17" s="312" t="s">
        <v>1969</v>
      </c>
      <c r="B17" s="312" t="s">
        <v>3910</v>
      </c>
      <c r="C17" s="313" t="s">
        <v>3483</v>
      </c>
      <c r="D17" s="764"/>
      <c r="E17" s="764" t="str">
        <f>+B16</f>
        <v>AAA080</v>
      </c>
      <c r="F17" s="327"/>
      <c r="G17" s="327"/>
    </row>
    <row r="18" spans="1:8" ht="25.5">
      <c r="A18" s="760" t="s">
        <v>1967</v>
      </c>
      <c r="B18" s="310" t="s">
        <v>2863</v>
      </c>
      <c r="C18" s="310" t="s">
        <v>2864</v>
      </c>
      <c r="D18" s="321"/>
      <c r="E18" s="321"/>
      <c r="F18" s="326"/>
      <c r="G18" s="326"/>
    </row>
    <row r="19" spans="1:8" ht="24">
      <c r="A19" s="312" t="s">
        <v>1969</v>
      </c>
      <c r="B19" s="312" t="s">
        <v>3911</v>
      </c>
      <c r="C19" s="313" t="s">
        <v>3484</v>
      </c>
      <c r="D19" s="764"/>
      <c r="E19" s="764" t="str">
        <f>+B18</f>
        <v>AAA090</v>
      </c>
      <c r="F19" s="327"/>
      <c r="G19" s="327"/>
      <c r="H19" t="s">
        <v>3906</v>
      </c>
    </row>
    <row r="20" spans="1:8" ht="25.5">
      <c r="A20" s="760" t="s">
        <v>1967</v>
      </c>
      <c r="B20" s="310" t="s">
        <v>2865</v>
      </c>
      <c r="C20" s="310" t="s">
        <v>2866</v>
      </c>
      <c r="D20" s="321"/>
      <c r="E20" s="321"/>
      <c r="F20" s="326"/>
      <c r="G20" s="326"/>
    </row>
    <row r="21" spans="1:8">
      <c r="A21" s="312" t="s">
        <v>1969</v>
      </c>
      <c r="B21" s="312" t="s">
        <v>3912</v>
      </c>
      <c r="C21" s="313" t="s">
        <v>3485</v>
      </c>
      <c r="D21" s="764"/>
      <c r="E21" s="764" t="str">
        <f>+B20</f>
        <v>AAA100</v>
      </c>
      <c r="F21" s="327"/>
      <c r="G21" s="327"/>
    </row>
    <row r="22" spans="1:8" ht="25.5">
      <c r="A22" s="760" t="s">
        <v>1967</v>
      </c>
      <c r="B22" s="310" t="s">
        <v>2867</v>
      </c>
      <c r="C22" s="310" t="s">
        <v>2868</v>
      </c>
      <c r="D22" s="321"/>
      <c r="E22" s="321"/>
      <c r="F22" s="326"/>
      <c r="G22" s="326"/>
    </row>
    <row r="23" spans="1:8" ht="24">
      <c r="A23" s="312" t="s">
        <v>1969</v>
      </c>
      <c r="B23" s="312" t="s">
        <v>3913</v>
      </c>
      <c r="C23" s="313" t="s">
        <v>3486</v>
      </c>
      <c r="D23" s="764"/>
      <c r="E23" s="764" t="str">
        <f>+B22</f>
        <v>AAA110</v>
      </c>
      <c r="F23" s="327"/>
      <c r="G23" s="327"/>
      <c r="H23" t="s">
        <v>3906</v>
      </c>
    </row>
    <row r="24" spans="1:8">
      <c r="A24" s="760" t="s">
        <v>1965</v>
      </c>
      <c r="B24" s="310" t="s">
        <v>2869</v>
      </c>
      <c r="C24" s="310" t="s">
        <v>2870</v>
      </c>
      <c r="D24" s="321"/>
      <c r="E24" s="321"/>
      <c r="F24" s="326"/>
      <c r="G24" s="326"/>
    </row>
    <row r="25" spans="1:8">
      <c r="A25" s="312"/>
      <c r="B25" s="312" t="s">
        <v>3914</v>
      </c>
      <c r="C25" s="313" t="s">
        <v>2672</v>
      </c>
      <c r="D25" s="764"/>
      <c r="E25" s="764" t="str">
        <f>+B24</f>
        <v>AAA120</v>
      </c>
      <c r="F25" s="327"/>
      <c r="G25" s="327"/>
    </row>
    <row r="26" spans="1:8">
      <c r="A26" s="760" t="s">
        <v>1965</v>
      </c>
      <c r="B26" s="310" t="s">
        <v>2871</v>
      </c>
      <c r="C26" s="310" t="s">
        <v>2872</v>
      </c>
      <c r="D26" s="321"/>
      <c r="E26" s="321"/>
      <c r="F26" s="326"/>
      <c r="G26" s="326"/>
    </row>
    <row r="27" spans="1:8">
      <c r="A27" s="760" t="s">
        <v>1967</v>
      </c>
      <c r="B27" s="310" t="s">
        <v>2873</v>
      </c>
      <c r="C27" s="310" t="s">
        <v>2874</v>
      </c>
      <c r="D27" s="321"/>
      <c r="E27" s="321"/>
      <c r="F27" s="326"/>
      <c r="G27" s="326"/>
    </row>
    <row r="28" spans="1:8">
      <c r="A28" s="765" t="s">
        <v>1969</v>
      </c>
      <c r="B28" s="765" t="s">
        <v>3915</v>
      </c>
      <c r="C28" s="766" t="s">
        <v>3487</v>
      </c>
      <c r="D28" s="767"/>
      <c r="E28" s="764" t="str">
        <f>+B27</f>
        <v>AAA140</v>
      </c>
      <c r="F28" s="768"/>
      <c r="G28" s="768"/>
    </row>
    <row r="29" spans="1:8">
      <c r="A29" s="760" t="s">
        <v>1967</v>
      </c>
      <c r="B29" s="310" t="s">
        <v>2875</v>
      </c>
      <c r="C29" s="310" t="s">
        <v>2876</v>
      </c>
      <c r="D29" s="321"/>
      <c r="E29" s="321"/>
      <c r="F29" s="326"/>
      <c r="G29" s="326"/>
    </row>
    <row r="30" spans="1:8">
      <c r="A30" s="312" t="s">
        <v>1969</v>
      </c>
      <c r="B30" s="312" t="s">
        <v>3916</v>
      </c>
      <c r="C30" s="313" t="s">
        <v>3488</v>
      </c>
      <c r="D30" s="764"/>
      <c r="E30" s="764" t="str">
        <f>+B29</f>
        <v>AAA150</v>
      </c>
      <c r="F30" s="327"/>
      <c r="G30" s="327"/>
      <c r="H30" t="s">
        <v>3906</v>
      </c>
    </row>
    <row r="31" spans="1:8">
      <c r="A31" s="760" t="s">
        <v>1967</v>
      </c>
      <c r="B31" s="310" t="s">
        <v>2877</v>
      </c>
      <c r="C31" s="310" t="s">
        <v>2878</v>
      </c>
      <c r="D31" s="321"/>
      <c r="E31" s="321"/>
      <c r="F31" s="326"/>
      <c r="G31" s="326"/>
    </row>
    <row r="32" spans="1:8">
      <c r="A32" s="312" t="s">
        <v>1969</v>
      </c>
      <c r="B32" s="312" t="s">
        <v>3917</v>
      </c>
      <c r="C32" s="313" t="s">
        <v>3489</v>
      </c>
      <c r="D32" s="764"/>
      <c r="E32" s="764" t="str">
        <f>+B31</f>
        <v>AAA160</v>
      </c>
      <c r="F32" s="327"/>
      <c r="G32" s="327"/>
    </row>
    <row r="33" spans="1:8">
      <c r="A33" s="760" t="s">
        <v>1967</v>
      </c>
      <c r="B33" s="310" t="s">
        <v>2879</v>
      </c>
      <c r="C33" s="310" t="s">
        <v>2880</v>
      </c>
      <c r="D33" s="321"/>
      <c r="E33" s="321"/>
      <c r="F33" s="326"/>
      <c r="G33" s="326"/>
    </row>
    <row r="34" spans="1:8">
      <c r="A34" s="312" t="s">
        <v>1969</v>
      </c>
      <c r="B34" s="312" t="s">
        <v>3918</v>
      </c>
      <c r="C34" s="313" t="s">
        <v>3490</v>
      </c>
      <c r="D34" s="764"/>
      <c r="E34" s="764" t="str">
        <f>+B33</f>
        <v>AAA170</v>
      </c>
      <c r="F34" s="327"/>
      <c r="G34" s="327"/>
      <c r="H34" t="s">
        <v>3906</v>
      </c>
    </row>
    <row r="35" spans="1:8">
      <c r="A35" s="760" t="s">
        <v>1967</v>
      </c>
      <c r="B35" s="310" t="s">
        <v>2881</v>
      </c>
      <c r="C35" s="310" t="s">
        <v>2882</v>
      </c>
      <c r="D35" s="321"/>
      <c r="E35" s="321"/>
      <c r="F35" s="326"/>
      <c r="G35" s="326"/>
    </row>
    <row r="36" spans="1:8">
      <c r="A36" s="312" t="s">
        <v>1969</v>
      </c>
      <c r="B36" s="312" t="s">
        <v>3919</v>
      </c>
      <c r="C36" s="313" t="s">
        <v>3491</v>
      </c>
      <c r="D36" s="764"/>
      <c r="E36" s="764" t="str">
        <f>+B35</f>
        <v>AAA180</v>
      </c>
      <c r="F36" s="327"/>
      <c r="G36" s="327"/>
    </row>
    <row r="37" spans="1:8">
      <c r="A37" s="760" t="s">
        <v>1967</v>
      </c>
      <c r="B37" s="310" t="s">
        <v>2883</v>
      </c>
      <c r="C37" s="310" t="s">
        <v>2884</v>
      </c>
      <c r="D37" s="321"/>
      <c r="E37" s="321"/>
      <c r="F37" s="326"/>
      <c r="G37" s="326"/>
    </row>
    <row r="38" spans="1:8">
      <c r="A38" s="312" t="s">
        <v>1969</v>
      </c>
      <c r="B38" s="312" t="s">
        <v>3920</v>
      </c>
      <c r="C38" s="313" t="s">
        <v>3492</v>
      </c>
      <c r="D38" s="764"/>
      <c r="E38" s="764" t="str">
        <f>+B37</f>
        <v>AAA190</v>
      </c>
      <c r="F38" s="327"/>
      <c r="G38" s="327"/>
      <c r="H38" t="s">
        <v>3906</v>
      </c>
    </row>
    <row r="39" spans="1:8">
      <c r="A39" s="760" t="s">
        <v>1967</v>
      </c>
      <c r="B39" s="310" t="s">
        <v>2885</v>
      </c>
      <c r="C39" s="310" t="s">
        <v>2886</v>
      </c>
      <c r="D39" s="321"/>
      <c r="E39" s="321"/>
      <c r="F39" s="326"/>
      <c r="G39" s="326"/>
    </row>
    <row r="40" spans="1:8">
      <c r="A40" s="312" t="s">
        <v>1969</v>
      </c>
      <c r="B40" s="312" t="s">
        <v>3921</v>
      </c>
      <c r="C40" s="313" t="s">
        <v>2674</v>
      </c>
      <c r="D40" s="764"/>
      <c r="E40" s="764" t="str">
        <f>+B39</f>
        <v>AAA200</v>
      </c>
      <c r="F40" s="327">
        <v>120526.9</v>
      </c>
      <c r="G40" s="327">
        <v>122766.82</v>
      </c>
    </row>
    <row r="41" spans="1:8">
      <c r="A41" s="760" t="s">
        <v>1967</v>
      </c>
      <c r="B41" s="310" t="s">
        <v>2887</v>
      </c>
      <c r="C41" s="310" t="s">
        <v>2888</v>
      </c>
      <c r="D41" s="321"/>
      <c r="E41" s="321"/>
      <c r="F41" s="326"/>
      <c r="G41" s="326"/>
    </row>
    <row r="42" spans="1:8">
      <c r="A42" s="312" t="s">
        <v>1969</v>
      </c>
      <c r="B42" s="312" t="s">
        <v>3922</v>
      </c>
      <c r="C42" s="313" t="s">
        <v>3493</v>
      </c>
      <c r="D42" s="764"/>
      <c r="E42" s="764" t="str">
        <f>+B41</f>
        <v>AAA210</v>
      </c>
      <c r="F42" s="327">
        <v>-118187</v>
      </c>
      <c r="G42" s="327">
        <v>-116698.64</v>
      </c>
      <c r="H42" t="s">
        <v>3906</v>
      </c>
    </row>
    <row r="43" spans="1:8">
      <c r="A43" s="760" t="s">
        <v>1965</v>
      </c>
      <c r="B43" s="310" t="s">
        <v>2889</v>
      </c>
      <c r="C43" s="310" t="s">
        <v>2890</v>
      </c>
      <c r="D43" s="321"/>
      <c r="E43" s="321"/>
      <c r="F43" s="326"/>
      <c r="G43" s="326"/>
    </row>
    <row r="44" spans="1:8">
      <c r="A44" s="760" t="s">
        <v>1967</v>
      </c>
      <c r="B44" s="310" t="s">
        <v>2891</v>
      </c>
      <c r="C44" s="310" t="s">
        <v>2892</v>
      </c>
      <c r="D44" s="321"/>
      <c r="E44" s="321"/>
      <c r="F44" s="326"/>
      <c r="G44" s="326"/>
    </row>
    <row r="45" spans="1:8">
      <c r="A45" s="312" t="s">
        <v>1969</v>
      </c>
      <c r="B45" s="312" t="s">
        <v>3923</v>
      </c>
      <c r="C45" s="313" t="s">
        <v>3494</v>
      </c>
      <c r="D45" s="764"/>
      <c r="E45" s="764" t="str">
        <f>+B44</f>
        <v>AAA230</v>
      </c>
      <c r="F45" s="327"/>
      <c r="G45" s="327"/>
      <c r="H45" t="s">
        <v>3906</v>
      </c>
    </row>
    <row r="46" spans="1:8">
      <c r="A46" s="760" t="s">
        <v>1967</v>
      </c>
      <c r="B46" s="310" t="s">
        <v>2893</v>
      </c>
      <c r="C46" s="310" t="s">
        <v>2894</v>
      </c>
      <c r="D46" s="321"/>
      <c r="E46" s="321"/>
      <c r="F46" s="326"/>
      <c r="G46" s="326"/>
    </row>
    <row r="47" spans="1:8">
      <c r="A47" s="312" t="s">
        <v>1969</v>
      </c>
      <c r="B47" s="312" t="s">
        <v>3924</v>
      </c>
      <c r="C47" s="313" t="s">
        <v>3495</v>
      </c>
      <c r="D47" s="764"/>
      <c r="E47" s="764" t="str">
        <f>+B46</f>
        <v>AAA240</v>
      </c>
      <c r="F47" s="327"/>
      <c r="G47" s="327"/>
      <c r="H47" t="s">
        <v>3906</v>
      </c>
    </row>
    <row r="48" spans="1:8" ht="25.5">
      <c r="A48" s="760" t="s">
        <v>1967</v>
      </c>
      <c r="B48" s="310" t="s">
        <v>2895</v>
      </c>
      <c r="C48" s="310" t="s">
        <v>2896</v>
      </c>
      <c r="D48" s="321"/>
      <c r="E48" s="321"/>
      <c r="F48" s="326"/>
      <c r="G48" s="326"/>
    </row>
    <row r="49" spans="1:8">
      <c r="A49" s="312" t="s">
        <v>1969</v>
      </c>
      <c r="B49" s="312" t="s">
        <v>3925</v>
      </c>
      <c r="C49" s="313" t="s">
        <v>3496</v>
      </c>
      <c r="D49" s="764"/>
      <c r="E49" s="764" t="str">
        <f>+B48</f>
        <v>AAA250</v>
      </c>
      <c r="F49" s="327"/>
      <c r="G49" s="327"/>
      <c r="H49" t="s">
        <v>3906</v>
      </c>
    </row>
    <row r="50" spans="1:8">
      <c r="A50" s="760" t="s">
        <v>1967</v>
      </c>
      <c r="B50" s="310" t="s">
        <v>2897</v>
      </c>
      <c r="C50" s="310" t="s">
        <v>2898</v>
      </c>
      <c r="D50" s="321"/>
      <c r="E50" s="321"/>
      <c r="F50" s="326"/>
      <c r="G50" s="326"/>
    </row>
    <row r="51" spans="1:8">
      <c r="A51" s="312" t="s">
        <v>1969</v>
      </c>
      <c r="B51" s="312" t="s">
        <v>3926</v>
      </c>
      <c r="C51" s="313" t="s">
        <v>3497</v>
      </c>
      <c r="D51" s="764"/>
      <c r="E51" s="764" t="str">
        <f>+B50</f>
        <v>AAA260</v>
      </c>
      <c r="F51" s="327"/>
      <c r="G51" s="327"/>
      <c r="H51" t="s">
        <v>3906</v>
      </c>
    </row>
    <row r="52" spans="1:8">
      <c r="A52" s="760" t="s">
        <v>1963</v>
      </c>
      <c r="B52" s="310" t="s">
        <v>2899</v>
      </c>
      <c r="C52" s="310" t="s">
        <v>3927</v>
      </c>
      <c r="D52" s="321"/>
      <c r="E52" s="321"/>
      <c r="F52" s="326"/>
      <c r="G52" s="326"/>
    </row>
    <row r="53" spans="1:8">
      <c r="A53" s="760" t="s">
        <v>1965</v>
      </c>
      <c r="B53" s="310" t="s">
        <v>2901</v>
      </c>
      <c r="C53" s="310" t="s">
        <v>2902</v>
      </c>
      <c r="D53" s="321"/>
      <c r="E53" s="321"/>
      <c r="F53" s="326"/>
      <c r="G53" s="326"/>
    </row>
    <row r="54" spans="1:8">
      <c r="A54" s="760" t="s">
        <v>1967</v>
      </c>
      <c r="B54" s="310" t="s">
        <v>2903</v>
      </c>
      <c r="C54" s="310" t="s">
        <v>2904</v>
      </c>
      <c r="D54" s="321"/>
      <c r="E54" s="321"/>
      <c r="F54" s="326"/>
      <c r="G54" s="326"/>
    </row>
    <row r="55" spans="1:8">
      <c r="A55" s="312" t="s">
        <v>1969</v>
      </c>
      <c r="B55" s="312" t="s">
        <v>3928</v>
      </c>
      <c r="C55" s="313" t="s">
        <v>2679</v>
      </c>
      <c r="D55" s="764"/>
      <c r="E55" s="764" t="str">
        <f>+B54</f>
        <v>AAA290</v>
      </c>
      <c r="F55" s="327"/>
      <c r="G55" s="327"/>
    </row>
    <row r="56" spans="1:8">
      <c r="A56" s="760" t="s">
        <v>1967</v>
      </c>
      <c r="B56" s="310" t="s">
        <v>2905</v>
      </c>
      <c r="C56" s="310" t="s">
        <v>2906</v>
      </c>
      <c r="D56" s="321"/>
      <c r="E56" s="321"/>
      <c r="F56" s="326"/>
      <c r="G56" s="326"/>
    </row>
    <row r="57" spans="1:8">
      <c r="A57" s="312" t="s">
        <v>1969</v>
      </c>
      <c r="B57" s="312" t="s">
        <v>3929</v>
      </c>
      <c r="C57" s="313" t="s">
        <v>2681</v>
      </c>
      <c r="D57" s="764"/>
      <c r="E57" s="764" t="str">
        <f>+B56</f>
        <v>AAA300</v>
      </c>
      <c r="F57" s="327"/>
      <c r="G57" s="327"/>
    </row>
    <row r="58" spans="1:8">
      <c r="A58" s="760" t="s">
        <v>1965</v>
      </c>
      <c r="B58" s="310" t="s">
        <v>2907</v>
      </c>
      <c r="C58" s="310" t="s">
        <v>2908</v>
      </c>
      <c r="D58" s="321"/>
      <c r="E58" s="321"/>
      <c r="F58" s="326"/>
      <c r="G58" s="326"/>
    </row>
    <row r="59" spans="1:8">
      <c r="A59" s="760" t="s">
        <v>1967</v>
      </c>
      <c r="B59" s="310" t="s">
        <v>2909</v>
      </c>
      <c r="C59" s="310" t="s">
        <v>2910</v>
      </c>
      <c r="D59" s="321"/>
      <c r="E59" s="321"/>
      <c r="F59" s="326"/>
      <c r="G59" s="326"/>
    </row>
    <row r="60" spans="1:8">
      <c r="A60" s="760" t="s">
        <v>1969</v>
      </c>
      <c r="B60" s="310" t="s">
        <v>2911</v>
      </c>
      <c r="C60" s="310" t="s">
        <v>2912</v>
      </c>
      <c r="D60" s="321"/>
      <c r="E60" s="321"/>
      <c r="F60" s="326"/>
      <c r="G60" s="326"/>
    </row>
    <row r="61" spans="1:8">
      <c r="A61" s="312" t="s">
        <v>1970</v>
      </c>
      <c r="B61" s="312" t="s">
        <v>3930</v>
      </c>
      <c r="C61" s="312" t="s">
        <v>2683</v>
      </c>
      <c r="D61" s="764"/>
      <c r="E61" s="764" t="str">
        <f>+B60</f>
        <v>AAA330</v>
      </c>
      <c r="F61" s="327"/>
      <c r="G61" s="327"/>
    </row>
    <row r="62" spans="1:8">
      <c r="A62" s="760" t="s">
        <v>1969</v>
      </c>
      <c r="B62" s="310" t="s">
        <v>2913</v>
      </c>
      <c r="C62" s="310" t="s">
        <v>2914</v>
      </c>
      <c r="D62" s="321"/>
      <c r="E62" s="321"/>
      <c r="F62" s="326"/>
      <c r="G62" s="326"/>
    </row>
    <row r="63" spans="1:8">
      <c r="A63" s="312" t="s">
        <v>1970</v>
      </c>
      <c r="B63" s="312" t="s">
        <v>3931</v>
      </c>
      <c r="C63" s="313" t="s">
        <v>3498</v>
      </c>
      <c r="D63" s="764"/>
      <c r="E63" s="764" t="str">
        <f>+B62</f>
        <v>AAA340</v>
      </c>
      <c r="F63" s="327"/>
      <c r="G63" s="327"/>
      <c r="H63" t="s">
        <v>3906</v>
      </c>
    </row>
    <row r="64" spans="1:8">
      <c r="A64" s="760" t="s">
        <v>1967</v>
      </c>
      <c r="B64" s="310" t="s">
        <v>2915</v>
      </c>
      <c r="C64" s="310" t="s">
        <v>2916</v>
      </c>
      <c r="D64" s="321"/>
      <c r="E64" s="321"/>
      <c r="F64" s="326"/>
      <c r="G64" s="326"/>
    </row>
    <row r="65" spans="1:8">
      <c r="A65" s="760" t="s">
        <v>1969</v>
      </c>
      <c r="B65" s="310" t="s">
        <v>2917</v>
      </c>
      <c r="C65" s="310" t="s">
        <v>2918</v>
      </c>
      <c r="D65" s="321"/>
      <c r="E65" s="321"/>
      <c r="F65" s="326"/>
      <c r="G65" s="326"/>
    </row>
    <row r="66" spans="1:8">
      <c r="A66" s="312" t="s">
        <v>1970</v>
      </c>
      <c r="B66" s="312" t="s">
        <v>3932</v>
      </c>
      <c r="C66" s="313" t="s">
        <v>2684</v>
      </c>
      <c r="D66" s="764"/>
      <c r="E66" s="764" t="str">
        <f>+B65</f>
        <v>AAA360</v>
      </c>
      <c r="F66" s="327"/>
      <c r="G66" s="327"/>
    </row>
    <row r="67" spans="1:8">
      <c r="A67" s="760" t="s">
        <v>1969</v>
      </c>
      <c r="B67" s="310" t="s">
        <v>2919</v>
      </c>
      <c r="C67" s="310" t="s">
        <v>2920</v>
      </c>
      <c r="D67" s="321"/>
      <c r="E67" s="321"/>
      <c r="F67" s="326"/>
      <c r="G67" s="326"/>
    </row>
    <row r="68" spans="1:8">
      <c r="A68" s="312" t="s">
        <v>1970</v>
      </c>
      <c r="B68" s="312" t="s">
        <v>3933</v>
      </c>
      <c r="C68" s="313" t="s">
        <v>3499</v>
      </c>
      <c r="D68" s="764"/>
      <c r="E68" s="764" t="str">
        <f>+B67</f>
        <v>AAA370</v>
      </c>
      <c r="F68" s="327"/>
      <c r="G68" s="327"/>
      <c r="H68" t="s">
        <v>3906</v>
      </c>
    </row>
    <row r="69" spans="1:8">
      <c r="A69" s="760" t="s">
        <v>1965</v>
      </c>
      <c r="B69" s="310" t="s">
        <v>2921</v>
      </c>
      <c r="C69" s="310" t="s">
        <v>2922</v>
      </c>
      <c r="D69" s="321"/>
      <c r="E69" s="321"/>
      <c r="F69" s="326"/>
      <c r="G69" s="326"/>
    </row>
    <row r="70" spans="1:8">
      <c r="A70" s="760" t="s">
        <v>1967</v>
      </c>
      <c r="B70" s="310" t="s">
        <v>2923</v>
      </c>
      <c r="C70" s="310" t="s">
        <v>2924</v>
      </c>
      <c r="D70" s="321"/>
      <c r="E70" s="321"/>
      <c r="F70" s="326"/>
      <c r="G70" s="326"/>
    </row>
    <row r="71" spans="1:8">
      <c r="A71" s="312" t="s">
        <v>1969</v>
      </c>
      <c r="B71" s="312" t="s">
        <v>3934</v>
      </c>
      <c r="C71" s="313" t="s">
        <v>2685</v>
      </c>
      <c r="D71" s="764"/>
      <c r="E71" s="764" t="str">
        <f>+B70</f>
        <v>AAA390</v>
      </c>
      <c r="F71" s="327">
        <v>235098.55</v>
      </c>
      <c r="G71" s="327">
        <v>246273.95</v>
      </c>
    </row>
    <row r="72" spans="1:8">
      <c r="A72" s="760" t="s">
        <v>1967</v>
      </c>
      <c r="B72" s="310" t="s">
        <v>2925</v>
      </c>
      <c r="C72" s="310" t="s">
        <v>2926</v>
      </c>
      <c r="D72" s="321"/>
      <c r="E72" s="321"/>
      <c r="F72" s="326"/>
      <c r="G72" s="326"/>
    </row>
    <row r="73" spans="1:8">
      <c r="A73" s="312" t="s">
        <v>1969</v>
      </c>
      <c r="B73" s="312" t="s">
        <v>3935</v>
      </c>
      <c r="C73" s="313" t="s">
        <v>3500</v>
      </c>
      <c r="D73" s="764"/>
      <c r="E73" s="764" t="str">
        <f>+B72</f>
        <v>AAA400</v>
      </c>
      <c r="F73" s="327">
        <v>-155036.47</v>
      </c>
      <c r="G73" s="327">
        <v>-143336.87</v>
      </c>
      <c r="H73" t="s">
        <v>3906</v>
      </c>
    </row>
    <row r="74" spans="1:8">
      <c r="A74" s="760" t="s">
        <v>1965</v>
      </c>
      <c r="B74" s="310" t="s">
        <v>2927</v>
      </c>
      <c r="C74" s="310" t="s">
        <v>2928</v>
      </c>
      <c r="D74" s="321"/>
      <c r="E74" s="321"/>
      <c r="F74" s="326"/>
      <c r="G74" s="326"/>
    </row>
    <row r="75" spans="1:8">
      <c r="A75" s="760" t="s">
        <v>1967</v>
      </c>
      <c r="B75" s="310" t="s">
        <v>2929</v>
      </c>
      <c r="C75" s="310" t="s">
        <v>2930</v>
      </c>
      <c r="D75" s="321"/>
      <c r="E75" s="321"/>
      <c r="F75" s="326"/>
      <c r="G75" s="326"/>
    </row>
    <row r="76" spans="1:8">
      <c r="A76" s="312" t="s">
        <v>1969</v>
      </c>
      <c r="B76" s="312" t="s">
        <v>3936</v>
      </c>
      <c r="C76" s="313" t="s">
        <v>2686</v>
      </c>
      <c r="D76" s="764"/>
      <c r="E76" s="764" t="str">
        <f>+B75</f>
        <v>AAA420</v>
      </c>
      <c r="F76" s="327">
        <v>198389.26</v>
      </c>
      <c r="G76" s="327">
        <v>198389.26</v>
      </c>
    </row>
    <row r="77" spans="1:8">
      <c r="A77" s="760" t="s">
        <v>1967</v>
      </c>
      <c r="B77" s="310" t="s">
        <v>2931</v>
      </c>
      <c r="C77" s="310" t="s">
        <v>2932</v>
      </c>
      <c r="D77" s="321"/>
      <c r="E77" s="321"/>
      <c r="F77" s="326"/>
      <c r="G77" s="326"/>
    </row>
    <row r="78" spans="1:8">
      <c r="A78" s="312" t="s">
        <v>1969</v>
      </c>
      <c r="B78" s="312" t="s">
        <v>3937</v>
      </c>
      <c r="C78" s="313" t="s">
        <v>3501</v>
      </c>
      <c r="D78" s="764"/>
      <c r="E78" s="764" t="str">
        <f>+B77</f>
        <v>AAA430</v>
      </c>
      <c r="F78" s="327">
        <v>-177600.62</v>
      </c>
      <c r="G78" s="327">
        <v>-153931.91</v>
      </c>
      <c r="H78" t="s">
        <v>3906</v>
      </c>
    </row>
    <row r="79" spans="1:8">
      <c r="A79" s="760" t="s">
        <v>1965</v>
      </c>
      <c r="B79" s="310" t="s">
        <v>2933</v>
      </c>
      <c r="C79" s="310" t="s">
        <v>2934</v>
      </c>
      <c r="D79" s="321"/>
      <c r="E79" s="321"/>
      <c r="F79" s="326"/>
      <c r="G79" s="326"/>
    </row>
    <row r="80" spans="1:8">
      <c r="A80" s="760" t="s">
        <v>1967</v>
      </c>
      <c r="B80" s="310" t="s">
        <v>2935</v>
      </c>
      <c r="C80" s="310" t="s">
        <v>2936</v>
      </c>
      <c r="D80" s="321"/>
      <c r="E80" s="321"/>
      <c r="F80" s="326"/>
      <c r="G80" s="326"/>
    </row>
    <row r="81" spans="1:8">
      <c r="A81" s="312" t="s">
        <v>1969</v>
      </c>
      <c r="B81" s="312" t="s">
        <v>3938</v>
      </c>
      <c r="C81" s="313" t="s">
        <v>2687</v>
      </c>
      <c r="D81" s="764"/>
      <c r="E81" s="764" t="str">
        <f>+B80</f>
        <v>AAA450</v>
      </c>
      <c r="F81" s="327">
        <v>437131.16</v>
      </c>
      <c r="G81" s="327">
        <v>427161.32</v>
      </c>
    </row>
    <row r="82" spans="1:8">
      <c r="A82" s="760" t="s">
        <v>1967</v>
      </c>
      <c r="B82" s="310" t="s">
        <v>2937</v>
      </c>
      <c r="C82" s="310" t="s">
        <v>2938</v>
      </c>
      <c r="D82" s="321"/>
      <c r="E82" s="321"/>
      <c r="F82" s="326"/>
      <c r="G82" s="326"/>
    </row>
    <row r="83" spans="1:8">
      <c r="A83" s="312" t="s">
        <v>1969</v>
      </c>
      <c r="B83" s="312" t="s">
        <v>3939</v>
      </c>
      <c r="C83" s="313" t="s">
        <v>3502</v>
      </c>
      <c r="D83" s="764"/>
      <c r="E83" s="764" t="str">
        <f>+B82</f>
        <v>AAA460</v>
      </c>
      <c r="F83" s="327">
        <v>-353554.43</v>
      </c>
      <c r="G83" s="327">
        <v>-324213.96000000002</v>
      </c>
      <c r="H83" t="s">
        <v>3906</v>
      </c>
    </row>
    <row r="84" spans="1:8">
      <c r="A84" s="760" t="s">
        <v>1965</v>
      </c>
      <c r="B84" s="310" t="s">
        <v>2939</v>
      </c>
      <c r="C84" s="310" t="s">
        <v>2940</v>
      </c>
      <c r="D84" s="321"/>
      <c r="E84" s="321"/>
      <c r="F84" s="326"/>
      <c r="G84" s="326"/>
    </row>
    <row r="85" spans="1:8">
      <c r="A85" s="760" t="s">
        <v>1967</v>
      </c>
      <c r="B85" s="310" t="s">
        <v>2941</v>
      </c>
      <c r="C85" s="310" t="s">
        <v>2942</v>
      </c>
      <c r="D85" s="321"/>
      <c r="E85" s="321"/>
      <c r="F85" s="326"/>
      <c r="G85" s="326"/>
    </row>
    <row r="86" spans="1:8">
      <c r="A86" s="312" t="s">
        <v>1969</v>
      </c>
      <c r="B86" s="312" t="s">
        <v>3940</v>
      </c>
      <c r="C86" s="313" t="s">
        <v>2689</v>
      </c>
      <c r="D86" s="764"/>
      <c r="E86" s="764" t="str">
        <f>+B85</f>
        <v>AAA480</v>
      </c>
      <c r="F86" s="327">
        <v>96404.45</v>
      </c>
      <c r="G86" s="327">
        <v>96404.45</v>
      </c>
    </row>
    <row r="87" spans="1:8">
      <c r="A87" s="760" t="s">
        <v>1967</v>
      </c>
      <c r="B87" s="310" t="s">
        <v>2943</v>
      </c>
      <c r="C87" s="310" t="s">
        <v>2944</v>
      </c>
      <c r="D87" s="321"/>
      <c r="E87" s="321"/>
      <c r="F87" s="326"/>
      <c r="G87" s="326"/>
    </row>
    <row r="88" spans="1:8">
      <c r="A88" s="312" t="s">
        <v>1969</v>
      </c>
      <c r="B88" s="312" t="s">
        <v>3941</v>
      </c>
      <c r="C88" s="313" t="s">
        <v>3503</v>
      </c>
      <c r="D88" s="764"/>
      <c r="E88" s="764" t="str">
        <f>+B87</f>
        <v>AAA490</v>
      </c>
      <c r="F88" s="327">
        <v>-96404.44</v>
      </c>
      <c r="G88" s="327">
        <v>-95397.62</v>
      </c>
      <c r="H88" t="s">
        <v>3906</v>
      </c>
    </row>
    <row r="89" spans="1:8">
      <c r="A89" s="760" t="s">
        <v>1965</v>
      </c>
      <c r="B89" s="310" t="s">
        <v>2945</v>
      </c>
      <c r="C89" s="310" t="s">
        <v>2946</v>
      </c>
      <c r="D89" s="321"/>
      <c r="E89" s="321"/>
      <c r="F89" s="326"/>
      <c r="G89" s="326"/>
    </row>
    <row r="90" spans="1:8">
      <c r="A90" s="312" t="s">
        <v>1967</v>
      </c>
      <c r="B90" s="312" t="s">
        <v>3942</v>
      </c>
      <c r="C90" s="313" t="s">
        <v>2691</v>
      </c>
      <c r="D90" s="764"/>
      <c r="E90" s="764" t="str">
        <f>+B89</f>
        <v>AAA500</v>
      </c>
      <c r="F90" s="327"/>
      <c r="G90" s="327"/>
    </row>
    <row r="91" spans="1:8">
      <c r="A91" s="760" t="s">
        <v>1965</v>
      </c>
      <c r="B91" s="310" t="s">
        <v>2947</v>
      </c>
      <c r="C91" s="310" t="s">
        <v>2948</v>
      </c>
      <c r="D91" s="321"/>
      <c r="E91" s="321"/>
      <c r="F91" s="326"/>
      <c r="G91" s="326"/>
    </row>
    <row r="92" spans="1:8">
      <c r="A92" s="760" t="s">
        <v>1967</v>
      </c>
      <c r="B92" s="310" t="s">
        <v>2949</v>
      </c>
      <c r="C92" s="310" t="s">
        <v>2950</v>
      </c>
      <c r="D92" s="321"/>
      <c r="E92" s="321"/>
      <c r="F92" s="326"/>
      <c r="G92" s="326"/>
    </row>
    <row r="93" spans="1:8">
      <c r="A93" s="312" t="s">
        <v>1969</v>
      </c>
      <c r="B93" s="312" t="s">
        <v>3943</v>
      </c>
      <c r="C93" s="313" t="s">
        <v>2693</v>
      </c>
      <c r="D93" s="764"/>
      <c r="E93" s="764" t="str">
        <f>+B92</f>
        <v>AAA520</v>
      </c>
      <c r="F93" s="327">
        <v>872700.89</v>
      </c>
      <c r="G93" s="327">
        <v>835019.21</v>
      </c>
    </row>
    <row r="94" spans="1:8">
      <c r="A94" s="760" t="s">
        <v>1967</v>
      </c>
      <c r="B94" s="310" t="s">
        <v>2951</v>
      </c>
      <c r="C94" s="310" t="s">
        <v>2952</v>
      </c>
      <c r="D94" s="321"/>
      <c r="E94" s="321"/>
      <c r="F94" s="326"/>
      <c r="G94" s="326"/>
    </row>
    <row r="95" spans="1:8">
      <c r="A95" s="312" t="s">
        <v>1969</v>
      </c>
      <c r="B95" s="312" t="s">
        <v>3944</v>
      </c>
      <c r="C95" s="313" t="s">
        <v>3504</v>
      </c>
      <c r="D95" s="764"/>
      <c r="E95" s="764" t="str">
        <f>+B94</f>
        <v>AAA530</v>
      </c>
      <c r="F95" s="327">
        <v>-616120.79</v>
      </c>
      <c r="G95" s="327">
        <v>-670736.37</v>
      </c>
      <c r="H95" t="s">
        <v>3906</v>
      </c>
    </row>
    <row r="96" spans="1:8">
      <c r="A96" s="760" t="s">
        <v>1965</v>
      </c>
      <c r="B96" s="310" t="s">
        <v>2953</v>
      </c>
      <c r="C96" s="310" t="s">
        <v>2954</v>
      </c>
      <c r="D96" s="321"/>
      <c r="E96" s="321"/>
      <c r="F96" s="326"/>
      <c r="G96" s="326"/>
    </row>
    <row r="97" spans="1:8">
      <c r="A97" s="312" t="s">
        <v>1967</v>
      </c>
      <c r="B97" s="312" t="s">
        <v>3945</v>
      </c>
      <c r="C97" s="313" t="s">
        <v>2695</v>
      </c>
      <c r="D97" s="764"/>
      <c r="E97" s="764" t="str">
        <f>+B96</f>
        <v>AAA540</v>
      </c>
      <c r="F97" s="327"/>
      <c r="G97" s="327"/>
    </row>
    <row r="98" spans="1:8">
      <c r="A98" s="760">
        <v>4</v>
      </c>
      <c r="B98" s="310" t="s">
        <v>2955</v>
      </c>
      <c r="C98" s="310" t="s">
        <v>2956</v>
      </c>
      <c r="D98" s="321"/>
      <c r="E98" s="321"/>
      <c r="F98" s="326"/>
      <c r="G98" s="326"/>
    </row>
    <row r="99" spans="1:8">
      <c r="A99" s="760" t="s">
        <v>1967</v>
      </c>
      <c r="B99" s="310" t="s">
        <v>2957</v>
      </c>
      <c r="C99" s="310" t="s">
        <v>2958</v>
      </c>
      <c r="D99" s="321"/>
      <c r="E99" s="321"/>
      <c r="F99" s="326"/>
      <c r="G99" s="326"/>
    </row>
    <row r="100" spans="1:8">
      <c r="A100" s="312">
        <v>6</v>
      </c>
      <c r="B100" s="312" t="s">
        <v>3946</v>
      </c>
      <c r="C100" s="313" t="s">
        <v>3505</v>
      </c>
      <c r="D100" s="764"/>
      <c r="E100" s="764" t="str">
        <f>+B99</f>
        <v>AAA560</v>
      </c>
      <c r="F100" s="327"/>
      <c r="G100" s="327"/>
      <c r="H100" t="s">
        <v>3906</v>
      </c>
    </row>
    <row r="101" spans="1:8">
      <c r="A101" s="312">
        <v>6</v>
      </c>
      <c r="B101" s="312" t="s">
        <v>3947</v>
      </c>
      <c r="C101" s="313" t="s">
        <v>3506</v>
      </c>
      <c r="D101" s="764"/>
      <c r="E101" s="764" t="str">
        <f>+E100</f>
        <v>AAA560</v>
      </c>
      <c r="F101" s="327"/>
      <c r="G101" s="327"/>
      <c r="H101" t="s">
        <v>3906</v>
      </c>
    </row>
    <row r="102" spans="1:8">
      <c r="A102" s="760" t="s">
        <v>1967</v>
      </c>
      <c r="B102" s="310" t="s">
        <v>2959</v>
      </c>
      <c r="C102" s="310" t="s">
        <v>2960</v>
      </c>
      <c r="D102" s="321"/>
      <c r="E102" s="321"/>
      <c r="F102" s="326"/>
      <c r="G102" s="326"/>
    </row>
    <row r="103" spans="1:8">
      <c r="A103" s="312" t="s">
        <v>1969</v>
      </c>
      <c r="B103" s="312" t="s">
        <v>3948</v>
      </c>
      <c r="C103" s="313" t="s">
        <v>3507</v>
      </c>
      <c r="D103" s="764"/>
      <c r="E103" s="764" t="str">
        <f>+B102</f>
        <v>AAA570</v>
      </c>
      <c r="F103" s="327"/>
      <c r="G103" s="327"/>
      <c r="H103" t="s">
        <v>3906</v>
      </c>
    </row>
    <row r="104" spans="1:8">
      <c r="A104" s="312">
        <v>6</v>
      </c>
      <c r="B104" s="312" t="s">
        <v>3949</v>
      </c>
      <c r="C104" s="313" t="s">
        <v>3508</v>
      </c>
      <c r="D104" s="764"/>
      <c r="E104" s="764" t="str">
        <f>+E103</f>
        <v>AAA570</v>
      </c>
      <c r="F104" s="327"/>
      <c r="G104" s="327"/>
      <c r="H104" t="s">
        <v>3906</v>
      </c>
    </row>
    <row r="105" spans="1:8">
      <c r="A105" s="760" t="s">
        <v>1967</v>
      </c>
      <c r="B105" s="310" t="s">
        <v>2961</v>
      </c>
      <c r="C105" s="310" t="s">
        <v>2962</v>
      </c>
      <c r="D105" s="321"/>
      <c r="E105" s="321"/>
      <c r="F105" s="326"/>
      <c r="G105" s="326"/>
    </row>
    <row r="106" spans="1:8">
      <c r="A106" s="312" t="s">
        <v>1969</v>
      </c>
      <c r="B106" s="312" t="s">
        <v>3950</v>
      </c>
      <c r="C106" s="313" t="s">
        <v>3509</v>
      </c>
      <c r="D106" s="764"/>
      <c r="E106" s="764" t="str">
        <f>+B105</f>
        <v>AAA580</v>
      </c>
      <c r="F106" s="327"/>
      <c r="G106" s="327"/>
      <c r="H106" t="s">
        <v>3906</v>
      </c>
    </row>
    <row r="107" spans="1:8">
      <c r="A107" s="760" t="s">
        <v>1967</v>
      </c>
      <c r="B107" s="310" t="s">
        <v>2963</v>
      </c>
      <c r="C107" s="310" t="s">
        <v>2964</v>
      </c>
      <c r="D107" s="321"/>
      <c r="E107" s="321"/>
      <c r="F107" s="326"/>
      <c r="G107" s="326"/>
    </row>
    <row r="108" spans="1:8">
      <c r="A108" s="312" t="s">
        <v>1969</v>
      </c>
      <c r="B108" s="312" t="s">
        <v>3951</v>
      </c>
      <c r="C108" s="313" t="s">
        <v>3510</v>
      </c>
      <c r="D108" s="764"/>
      <c r="E108" s="764" t="str">
        <f>+B107</f>
        <v>AAA590</v>
      </c>
      <c r="F108" s="327"/>
      <c r="G108" s="327"/>
      <c r="H108" t="s">
        <v>3906</v>
      </c>
    </row>
    <row r="109" spans="1:8">
      <c r="A109" s="760" t="s">
        <v>1967</v>
      </c>
      <c r="B109" s="310" t="s">
        <v>2965</v>
      </c>
      <c r="C109" s="310" t="s">
        <v>2966</v>
      </c>
      <c r="D109" s="321"/>
      <c r="E109" s="321"/>
      <c r="F109" s="326"/>
      <c r="G109" s="326"/>
    </row>
    <row r="110" spans="1:8">
      <c r="A110" s="312" t="s">
        <v>1969</v>
      </c>
      <c r="B110" s="312" t="s">
        <v>3952</v>
      </c>
      <c r="C110" s="313" t="s">
        <v>3511</v>
      </c>
      <c r="D110" s="764"/>
      <c r="E110" s="764" t="str">
        <f>+B109</f>
        <v>AAA600</v>
      </c>
      <c r="F110" s="327"/>
      <c r="G110" s="327"/>
      <c r="H110" t="s">
        <v>3906</v>
      </c>
    </row>
    <row r="111" spans="1:8">
      <c r="A111" s="760" t="s">
        <v>1967</v>
      </c>
      <c r="B111" s="310" t="s">
        <v>2967</v>
      </c>
      <c r="C111" s="310" t="s">
        <v>2968</v>
      </c>
      <c r="D111" s="321"/>
      <c r="E111" s="321"/>
      <c r="F111" s="326"/>
      <c r="G111" s="326"/>
    </row>
    <row r="112" spans="1:8">
      <c r="A112" s="312" t="s">
        <v>1969</v>
      </c>
      <c r="B112" s="312" t="s">
        <v>3953</v>
      </c>
      <c r="C112" s="313" t="s">
        <v>3512</v>
      </c>
      <c r="D112" s="764"/>
      <c r="E112" s="764" t="str">
        <f>+B111</f>
        <v>AAA610</v>
      </c>
      <c r="F112" s="327"/>
      <c r="G112" s="327"/>
      <c r="H112" t="s">
        <v>3906</v>
      </c>
    </row>
    <row r="113" spans="1:8">
      <c r="A113" s="760" t="s">
        <v>1967</v>
      </c>
      <c r="B113" s="310" t="s">
        <v>2969</v>
      </c>
      <c r="C113" s="310" t="s">
        <v>2970</v>
      </c>
      <c r="D113" s="321"/>
      <c r="E113" s="321"/>
      <c r="F113" s="326"/>
      <c r="G113" s="326"/>
    </row>
    <row r="114" spans="1:8">
      <c r="A114" s="312" t="s">
        <v>1969</v>
      </c>
      <c r="B114" s="312" t="s">
        <v>3954</v>
      </c>
      <c r="C114" s="313" t="s">
        <v>3513</v>
      </c>
      <c r="D114" s="764"/>
      <c r="E114" s="764" t="str">
        <f>+B113</f>
        <v>AAA620</v>
      </c>
      <c r="F114" s="327"/>
      <c r="G114" s="327"/>
      <c r="H114" t="s">
        <v>3906</v>
      </c>
    </row>
    <row r="115" spans="1:8">
      <c r="A115" s="760" t="s">
        <v>1967</v>
      </c>
      <c r="B115" s="310" t="s">
        <v>2971</v>
      </c>
      <c r="C115" s="310" t="s">
        <v>2972</v>
      </c>
      <c r="D115" s="321"/>
      <c r="E115" s="321"/>
      <c r="F115" s="326"/>
      <c r="G115" s="326"/>
    </row>
    <row r="116" spans="1:8">
      <c r="A116" s="312" t="s">
        <v>1969</v>
      </c>
      <c r="B116" s="312" t="s">
        <v>3955</v>
      </c>
      <c r="C116" s="313" t="s">
        <v>3514</v>
      </c>
      <c r="D116" s="764"/>
      <c r="E116" s="764" t="str">
        <f>+B115</f>
        <v>AAA630</v>
      </c>
      <c r="F116" s="327"/>
      <c r="G116" s="327"/>
      <c r="H116" t="s">
        <v>3906</v>
      </c>
    </row>
    <row r="117" spans="1:8">
      <c r="A117" s="760" t="s">
        <v>1963</v>
      </c>
      <c r="B117" s="310" t="s">
        <v>2973</v>
      </c>
      <c r="C117" s="310" t="s">
        <v>3956</v>
      </c>
      <c r="D117" s="321"/>
      <c r="E117" s="321"/>
      <c r="F117" s="326"/>
      <c r="G117" s="326"/>
    </row>
    <row r="118" spans="1:8">
      <c r="A118" s="760" t="s">
        <v>1965</v>
      </c>
      <c r="B118" s="310" t="s">
        <v>2975</v>
      </c>
      <c r="C118" s="310" t="s">
        <v>2976</v>
      </c>
      <c r="D118" s="321"/>
      <c r="E118" s="321"/>
      <c r="F118" s="326"/>
      <c r="G118" s="326"/>
    </row>
    <row r="119" spans="1:8">
      <c r="A119" s="760" t="s">
        <v>1967</v>
      </c>
      <c r="B119" s="310" t="s">
        <v>2977</v>
      </c>
      <c r="C119" s="310" t="s">
        <v>2978</v>
      </c>
      <c r="D119" s="321"/>
      <c r="E119" s="321"/>
      <c r="F119" s="326"/>
      <c r="G119" s="326"/>
    </row>
    <row r="120" spans="1:8">
      <c r="A120" s="312">
        <v>6</v>
      </c>
      <c r="B120" s="312" t="s">
        <v>3957</v>
      </c>
      <c r="C120" s="313" t="s">
        <v>2701</v>
      </c>
      <c r="D120" s="764"/>
      <c r="E120" s="764" t="str">
        <f>+B119</f>
        <v>AAA660</v>
      </c>
      <c r="F120" s="327"/>
      <c r="G120" s="327"/>
    </row>
    <row r="121" spans="1:8">
      <c r="A121" s="312" t="s">
        <v>1969</v>
      </c>
      <c r="B121" s="769" t="s">
        <v>3958</v>
      </c>
      <c r="C121" s="313" t="s">
        <v>3515</v>
      </c>
      <c r="D121" s="764"/>
      <c r="E121" s="764" t="str">
        <f>+E120</f>
        <v>AAA660</v>
      </c>
      <c r="F121" s="327"/>
      <c r="G121" s="327"/>
      <c r="H121" t="s">
        <v>3906</v>
      </c>
    </row>
    <row r="122" spans="1:8">
      <c r="A122" s="760" t="s">
        <v>1967</v>
      </c>
      <c r="B122" s="310" t="s">
        <v>2979</v>
      </c>
      <c r="C122" s="310" t="s">
        <v>2980</v>
      </c>
      <c r="D122" s="321"/>
      <c r="E122" s="321"/>
      <c r="F122" s="326"/>
      <c r="G122" s="326"/>
    </row>
    <row r="123" spans="1:8">
      <c r="A123" s="312">
        <v>6</v>
      </c>
      <c r="B123" s="312" t="s">
        <v>3959</v>
      </c>
      <c r="C123" s="313" t="s">
        <v>2702</v>
      </c>
      <c r="D123" s="764"/>
      <c r="E123" s="764" t="str">
        <f>+B122</f>
        <v>AAA670</v>
      </c>
      <c r="F123" s="327"/>
      <c r="G123" s="327"/>
    </row>
    <row r="124" spans="1:8">
      <c r="A124" s="312" t="s">
        <v>1969</v>
      </c>
      <c r="B124" s="312" t="s">
        <v>3960</v>
      </c>
      <c r="C124" s="313" t="s">
        <v>3516</v>
      </c>
      <c r="D124" s="764"/>
      <c r="E124" s="764" t="str">
        <f>+E123</f>
        <v>AAA670</v>
      </c>
      <c r="F124" s="327"/>
      <c r="G124" s="327"/>
      <c r="H124" t="str">
        <f>+H121</f>
        <v>SEGNO NEGATIVO</v>
      </c>
    </row>
    <row r="125" spans="1:8">
      <c r="A125" s="760" t="s">
        <v>1967</v>
      </c>
      <c r="B125" s="310" t="s">
        <v>2981</v>
      </c>
      <c r="C125" s="310" t="s">
        <v>2982</v>
      </c>
      <c r="D125" s="321"/>
      <c r="E125" s="321"/>
      <c r="F125" s="326"/>
      <c r="G125" s="326"/>
    </row>
    <row r="126" spans="1:8">
      <c r="A126" s="312">
        <v>6</v>
      </c>
      <c r="B126" s="312" t="s">
        <v>3961</v>
      </c>
      <c r="C126" s="770" t="s">
        <v>2704</v>
      </c>
      <c r="D126" s="764"/>
      <c r="E126" s="764" t="str">
        <f>+B125</f>
        <v>AAA680</v>
      </c>
      <c r="F126" s="327"/>
      <c r="G126" s="327"/>
    </row>
    <row r="127" spans="1:8">
      <c r="A127" s="312" t="s">
        <v>1969</v>
      </c>
      <c r="B127" s="312" t="s">
        <v>3962</v>
      </c>
      <c r="C127" s="313" t="s">
        <v>3517</v>
      </c>
      <c r="D127" s="764"/>
      <c r="E127" s="764" t="str">
        <f>+E126</f>
        <v>AAA680</v>
      </c>
      <c r="F127" s="327"/>
      <c r="G127" s="327"/>
      <c r="H127" t="s">
        <v>3906</v>
      </c>
    </row>
    <row r="128" spans="1:8">
      <c r="A128" s="760" t="s">
        <v>1967</v>
      </c>
      <c r="B128" s="310" t="s">
        <v>2983</v>
      </c>
      <c r="C128" s="310" t="s">
        <v>2984</v>
      </c>
      <c r="D128" s="321"/>
      <c r="E128" s="321"/>
      <c r="F128" s="326"/>
      <c r="G128" s="326"/>
    </row>
    <row r="129" spans="1:8">
      <c r="A129" s="312">
        <v>6</v>
      </c>
      <c r="B129" s="312" t="s">
        <v>3963</v>
      </c>
      <c r="C129" s="313" t="s">
        <v>3518</v>
      </c>
      <c r="D129" s="764"/>
      <c r="E129" s="764" t="str">
        <f>+B128</f>
        <v>AAA690</v>
      </c>
      <c r="F129" s="327"/>
      <c r="G129" s="327"/>
    </row>
    <row r="130" spans="1:8">
      <c r="A130" s="312">
        <v>6</v>
      </c>
      <c r="B130" s="312" t="s">
        <v>3964</v>
      </c>
      <c r="C130" s="313" t="s">
        <v>3519</v>
      </c>
      <c r="D130" s="764"/>
      <c r="E130" s="764" t="str">
        <f>+E129</f>
        <v>AAA690</v>
      </c>
      <c r="F130" s="327"/>
      <c r="G130" s="327"/>
    </row>
    <row r="131" spans="1:8">
      <c r="A131" s="312">
        <v>6</v>
      </c>
      <c r="B131" s="312" t="s">
        <v>3965</v>
      </c>
      <c r="C131" s="313" t="s">
        <v>3520</v>
      </c>
      <c r="D131" s="764"/>
      <c r="E131" s="764" t="str">
        <f>+E130</f>
        <v>AAA690</v>
      </c>
      <c r="F131" s="327"/>
      <c r="G131" s="327"/>
    </row>
    <row r="132" spans="1:8">
      <c r="A132" s="312" t="s">
        <v>1969</v>
      </c>
      <c r="B132" s="312" t="s">
        <v>3966</v>
      </c>
      <c r="C132" s="313" t="s">
        <v>3521</v>
      </c>
      <c r="D132" s="764"/>
      <c r="E132" s="764" t="str">
        <f>+E131</f>
        <v>AAA690</v>
      </c>
      <c r="F132" s="327"/>
      <c r="G132" s="327"/>
      <c r="H132" t="s">
        <v>3906</v>
      </c>
    </row>
    <row r="133" spans="1:8">
      <c r="A133" s="760" t="s">
        <v>1965</v>
      </c>
      <c r="B133" s="310" t="s">
        <v>2985</v>
      </c>
      <c r="C133" s="310" t="s">
        <v>2986</v>
      </c>
      <c r="D133" s="321"/>
      <c r="E133" s="321"/>
      <c r="F133" s="326"/>
      <c r="G133" s="326"/>
    </row>
    <row r="134" spans="1:8">
      <c r="A134" s="760" t="s">
        <v>1967</v>
      </c>
      <c r="B134" s="310" t="s">
        <v>2987</v>
      </c>
      <c r="C134" s="310" t="s">
        <v>2988</v>
      </c>
      <c r="D134" s="321"/>
      <c r="E134" s="321"/>
      <c r="F134" s="326"/>
      <c r="G134" s="326"/>
    </row>
    <row r="135" spans="1:8">
      <c r="A135" s="312" t="s">
        <v>1969</v>
      </c>
      <c r="B135" s="312" t="s">
        <v>3967</v>
      </c>
      <c r="C135" s="313" t="s">
        <v>2708</v>
      </c>
      <c r="D135" s="764"/>
      <c r="E135" s="764" t="str">
        <f>+B134</f>
        <v>AAA710</v>
      </c>
      <c r="F135" s="327"/>
      <c r="G135" s="327"/>
    </row>
    <row r="136" spans="1:8">
      <c r="A136" s="760" t="s">
        <v>1967</v>
      </c>
      <c r="B136" s="310" t="s">
        <v>2989</v>
      </c>
      <c r="C136" s="310" t="s">
        <v>2990</v>
      </c>
      <c r="D136" s="321"/>
      <c r="E136" s="321"/>
      <c r="F136" s="326"/>
      <c r="G136" s="326"/>
    </row>
    <row r="137" spans="1:8">
      <c r="A137" s="760" t="s">
        <v>1969</v>
      </c>
      <c r="B137" s="310" t="s">
        <v>2991</v>
      </c>
      <c r="C137" s="310" t="s">
        <v>2992</v>
      </c>
      <c r="D137" s="321"/>
      <c r="E137" s="321"/>
      <c r="F137" s="326"/>
      <c r="G137" s="326"/>
    </row>
    <row r="138" spans="1:8">
      <c r="A138" s="312" t="s">
        <v>1970</v>
      </c>
      <c r="B138" s="312" t="s">
        <v>3968</v>
      </c>
      <c r="C138" s="313" t="s">
        <v>3522</v>
      </c>
      <c r="D138" s="764"/>
      <c r="E138" s="764" t="str">
        <f>+B137</f>
        <v>AAA730</v>
      </c>
      <c r="F138" s="327"/>
      <c r="G138" s="327"/>
    </row>
    <row r="139" spans="1:8">
      <c r="A139" s="760" t="s">
        <v>1969</v>
      </c>
      <c r="B139" s="310" t="s">
        <v>2993</v>
      </c>
      <c r="C139" s="310" t="s">
        <v>2994</v>
      </c>
      <c r="D139" s="321"/>
      <c r="E139" s="321"/>
      <c r="F139" s="326"/>
      <c r="G139" s="326"/>
    </row>
    <row r="140" spans="1:8">
      <c r="A140" s="312" t="s">
        <v>1970</v>
      </c>
      <c r="B140" s="312" t="s">
        <v>3969</v>
      </c>
      <c r="C140" s="313" t="s">
        <v>3523</v>
      </c>
      <c r="D140" s="764"/>
      <c r="E140" s="764" t="str">
        <f>+B139</f>
        <v>AAA740</v>
      </c>
      <c r="F140" s="327"/>
      <c r="G140" s="327"/>
    </row>
    <row r="141" spans="1:8">
      <c r="A141" s="760" t="s">
        <v>1969</v>
      </c>
      <c r="B141" s="310" t="s">
        <v>2995</v>
      </c>
      <c r="C141" s="310" t="s">
        <v>2996</v>
      </c>
      <c r="D141" s="321"/>
      <c r="E141" s="321"/>
      <c r="F141" s="326"/>
      <c r="G141" s="326"/>
    </row>
    <row r="142" spans="1:8">
      <c r="A142" s="312" t="s">
        <v>1970</v>
      </c>
      <c r="B142" s="312" t="s">
        <v>3970</v>
      </c>
      <c r="C142" s="313" t="s">
        <v>3524</v>
      </c>
      <c r="D142" s="764"/>
      <c r="E142" s="764" t="str">
        <f>+B141</f>
        <v>AAA750</v>
      </c>
      <c r="F142" s="327"/>
      <c r="G142" s="327"/>
    </row>
    <row r="143" spans="1:8">
      <c r="A143" s="760" t="s">
        <v>1969</v>
      </c>
      <c r="B143" s="310" t="s">
        <v>2997</v>
      </c>
      <c r="C143" s="310" t="s">
        <v>2998</v>
      </c>
      <c r="D143" s="321"/>
      <c r="E143" s="321"/>
      <c r="F143" s="326"/>
      <c r="G143" s="326"/>
    </row>
    <row r="144" spans="1:8">
      <c r="A144" s="312" t="s">
        <v>1970</v>
      </c>
      <c r="B144" s="312" t="s">
        <v>3971</v>
      </c>
      <c r="C144" s="313" t="s">
        <v>3525</v>
      </c>
      <c r="D144" s="764"/>
      <c r="E144" s="764" t="str">
        <f>+B143</f>
        <v>AAA760</v>
      </c>
      <c r="F144" s="327"/>
      <c r="G144" s="327"/>
    </row>
    <row r="145" spans="1:7">
      <c r="A145" s="760" t="s">
        <v>1960</v>
      </c>
      <c r="B145" s="310" t="s">
        <v>2999</v>
      </c>
      <c r="C145" s="310" t="s">
        <v>3000</v>
      </c>
      <c r="D145" s="321"/>
      <c r="E145" s="321"/>
      <c r="F145" s="326"/>
      <c r="G145" s="326"/>
    </row>
    <row r="146" spans="1:7">
      <c r="A146" s="760" t="s">
        <v>1963</v>
      </c>
      <c r="B146" s="310" t="s">
        <v>3001</v>
      </c>
      <c r="C146" s="310" t="s">
        <v>3002</v>
      </c>
      <c r="D146" s="321"/>
      <c r="E146" s="321"/>
      <c r="F146" s="326"/>
      <c r="G146" s="326"/>
    </row>
    <row r="147" spans="1:7">
      <c r="A147" s="760" t="s">
        <v>1965</v>
      </c>
      <c r="B147" s="310" t="s">
        <v>3003</v>
      </c>
      <c r="C147" s="310" t="s">
        <v>3004</v>
      </c>
      <c r="D147" s="321"/>
      <c r="E147" s="321"/>
      <c r="F147" s="326"/>
      <c r="G147" s="326"/>
    </row>
    <row r="148" spans="1:7">
      <c r="A148" s="760" t="s">
        <v>1967</v>
      </c>
      <c r="B148" s="310" t="s">
        <v>3005</v>
      </c>
      <c r="C148" s="310" t="s">
        <v>3006</v>
      </c>
      <c r="D148" s="321"/>
      <c r="E148" s="321"/>
      <c r="F148" s="326"/>
      <c r="G148" s="326"/>
    </row>
    <row r="149" spans="1:7" ht="24">
      <c r="A149" s="312">
        <v>6</v>
      </c>
      <c r="B149" s="312" t="s">
        <v>3972</v>
      </c>
      <c r="C149" s="313" t="s">
        <v>3973</v>
      </c>
      <c r="D149" s="764"/>
      <c r="E149" s="764" t="str">
        <f>+B148</f>
        <v>ABA020</v>
      </c>
      <c r="F149" s="327">
        <v>47919944.950000003</v>
      </c>
      <c r="G149" s="327">
        <v>47903278.899999999</v>
      </c>
    </row>
    <row r="150" spans="1:7">
      <c r="A150" s="312">
        <v>6</v>
      </c>
      <c r="B150" s="312" t="s">
        <v>3974</v>
      </c>
      <c r="C150" s="313" t="s">
        <v>3975</v>
      </c>
      <c r="D150" s="764"/>
      <c r="E150" s="764" t="str">
        <f>+E149</f>
        <v>ABA020</v>
      </c>
      <c r="F150" s="327">
        <v>1126669.8</v>
      </c>
      <c r="G150" s="327">
        <v>1042651.2</v>
      </c>
    </row>
    <row r="151" spans="1:7">
      <c r="A151" s="312">
        <v>6</v>
      </c>
      <c r="B151" s="312" t="s">
        <v>3976</v>
      </c>
      <c r="C151" s="313" t="s">
        <v>3977</v>
      </c>
      <c r="D151" s="764"/>
      <c r="E151" s="764" t="str">
        <f>+E150</f>
        <v>ABA020</v>
      </c>
      <c r="F151" s="327"/>
      <c r="G151" s="327"/>
    </row>
    <row r="152" spans="1:7">
      <c r="A152" s="760" t="s">
        <v>1967</v>
      </c>
      <c r="B152" s="310" t="s">
        <v>3007</v>
      </c>
      <c r="C152" s="310" t="s">
        <v>3008</v>
      </c>
      <c r="D152" s="321"/>
      <c r="E152" s="321"/>
      <c r="F152" s="326"/>
      <c r="G152" s="326"/>
    </row>
    <row r="153" spans="1:7">
      <c r="A153" s="312" t="s">
        <v>1969</v>
      </c>
      <c r="B153" s="312" t="s">
        <v>3978</v>
      </c>
      <c r="C153" s="313" t="s">
        <v>3979</v>
      </c>
      <c r="D153" s="764"/>
      <c r="E153" s="764" t="str">
        <f>+B152</f>
        <v>ABA030</v>
      </c>
      <c r="F153" s="327"/>
      <c r="G153" s="327"/>
    </row>
    <row r="154" spans="1:7">
      <c r="A154" s="760" t="s">
        <v>1967</v>
      </c>
      <c r="B154" s="310" t="s">
        <v>3009</v>
      </c>
      <c r="C154" s="310" t="s">
        <v>3010</v>
      </c>
      <c r="D154" s="321"/>
      <c r="E154" s="321"/>
      <c r="F154" s="326"/>
      <c r="G154" s="326"/>
    </row>
    <row r="155" spans="1:7">
      <c r="A155" s="312">
        <v>6</v>
      </c>
      <c r="B155" s="312" t="s">
        <v>3980</v>
      </c>
      <c r="C155" s="313" t="s">
        <v>3981</v>
      </c>
      <c r="D155" s="764"/>
      <c r="E155" s="764" t="str">
        <f>+B154</f>
        <v>ABA040</v>
      </c>
      <c r="F155" s="327">
        <v>12008029.66</v>
      </c>
      <c r="G155" s="327">
        <v>11971157.02</v>
      </c>
    </row>
    <row r="156" spans="1:7">
      <c r="A156" s="312">
        <v>6</v>
      </c>
      <c r="B156" s="312" t="s">
        <v>3982</v>
      </c>
      <c r="C156" s="313" t="s">
        <v>3983</v>
      </c>
      <c r="D156" s="764"/>
      <c r="E156" s="764" t="str">
        <f>+E155</f>
        <v>ABA040</v>
      </c>
      <c r="F156" s="327">
        <v>5518</v>
      </c>
      <c r="G156" s="327">
        <v>1078264.7</v>
      </c>
    </row>
    <row r="157" spans="1:7">
      <c r="A157" s="312">
        <v>6</v>
      </c>
      <c r="B157" s="312" t="s">
        <v>3984</v>
      </c>
      <c r="C157" s="313" t="s">
        <v>3985</v>
      </c>
      <c r="D157" s="764"/>
      <c r="E157" s="764" t="str">
        <f>+E156</f>
        <v>ABA040</v>
      </c>
      <c r="F157" s="327">
        <v>429148.8</v>
      </c>
      <c r="G157" s="327">
        <v>521881.38</v>
      </c>
    </row>
    <row r="158" spans="1:7">
      <c r="A158" s="760" t="s">
        <v>1967</v>
      </c>
      <c r="B158" s="310" t="s">
        <v>3011</v>
      </c>
      <c r="C158" s="310" t="s">
        <v>3012</v>
      </c>
      <c r="D158" s="321"/>
      <c r="E158" s="321"/>
      <c r="F158" s="326"/>
      <c r="G158" s="326"/>
    </row>
    <row r="159" spans="1:7">
      <c r="A159" s="312" t="s">
        <v>1969</v>
      </c>
      <c r="B159" s="312" t="s">
        <v>3986</v>
      </c>
      <c r="C159" s="313" t="s">
        <v>3987</v>
      </c>
      <c r="D159" s="764"/>
      <c r="E159" s="764" t="str">
        <f>+B158</f>
        <v>ABA050</v>
      </c>
      <c r="F159" s="327">
        <v>482515.58</v>
      </c>
      <c r="G159" s="327">
        <v>457565.91</v>
      </c>
    </row>
    <row r="160" spans="1:7">
      <c r="A160" s="760" t="s">
        <v>1967</v>
      </c>
      <c r="B160" s="310" t="s">
        <v>3013</v>
      </c>
      <c r="C160" s="310" t="s">
        <v>3014</v>
      </c>
      <c r="D160" s="321"/>
      <c r="E160" s="321"/>
      <c r="F160" s="326"/>
      <c r="G160" s="326"/>
    </row>
    <row r="161" spans="1:7">
      <c r="A161" s="312" t="s">
        <v>1969</v>
      </c>
      <c r="B161" s="312" t="s">
        <v>3988</v>
      </c>
      <c r="C161" s="313" t="s">
        <v>3989</v>
      </c>
      <c r="D161" s="764"/>
      <c r="E161" s="764" t="str">
        <f>+B160</f>
        <v>ABA060</v>
      </c>
      <c r="F161" s="327">
        <v>2595352.33</v>
      </c>
      <c r="G161" s="327">
        <v>1411280.69</v>
      </c>
    </row>
    <row r="162" spans="1:7">
      <c r="A162" s="760" t="s">
        <v>1967</v>
      </c>
      <c r="B162" s="310" t="s">
        <v>3015</v>
      </c>
      <c r="C162" s="310" t="s">
        <v>3016</v>
      </c>
      <c r="D162" s="321"/>
      <c r="E162" s="321"/>
      <c r="F162" s="326"/>
      <c r="G162" s="326"/>
    </row>
    <row r="163" spans="1:7">
      <c r="A163" s="312" t="s">
        <v>1969</v>
      </c>
      <c r="B163" s="312" t="s">
        <v>3990</v>
      </c>
      <c r="C163" s="313" t="s">
        <v>3991</v>
      </c>
      <c r="D163" s="764"/>
      <c r="E163" s="764" t="str">
        <f>+B162</f>
        <v>ABA070</v>
      </c>
      <c r="F163" s="327">
        <v>5133.5600000000004</v>
      </c>
      <c r="G163" s="327">
        <v>10347.68</v>
      </c>
    </row>
    <row r="164" spans="1:7">
      <c r="A164" s="760" t="s">
        <v>1967</v>
      </c>
      <c r="B164" s="310" t="s">
        <v>3017</v>
      </c>
      <c r="C164" s="310" t="s">
        <v>3018</v>
      </c>
      <c r="D164" s="321"/>
      <c r="E164" s="321"/>
      <c r="F164" s="326"/>
      <c r="G164" s="326"/>
    </row>
    <row r="165" spans="1:7">
      <c r="A165" s="312" t="s">
        <v>1969</v>
      </c>
      <c r="B165" s="312" t="s">
        <v>3992</v>
      </c>
      <c r="C165" s="313" t="s">
        <v>3993</v>
      </c>
      <c r="D165" s="764"/>
      <c r="E165" s="764" t="str">
        <f>+B164</f>
        <v>ABA080</v>
      </c>
      <c r="F165" s="327">
        <v>31895.25</v>
      </c>
      <c r="G165" s="327">
        <v>35986.22</v>
      </c>
    </row>
    <row r="166" spans="1:7">
      <c r="A166" s="760" t="s">
        <v>1967</v>
      </c>
      <c r="B166" s="310" t="s">
        <v>3019</v>
      </c>
      <c r="C166" s="310" t="s">
        <v>3020</v>
      </c>
      <c r="D166" s="321"/>
      <c r="E166" s="321"/>
      <c r="F166" s="326"/>
      <c r="G166" s="326"/>
    </row>
    <row r="167" spans="1:7">
      <c r="A167" s="312" t="s">
        <v>1969</v>
      </c>
      <c r="B167" s="312" t="s">
        <v>3994</v>
      </c>
      <c r="C167" s="313" t="s">
        <v>3995</v>
      </c>
      <c r="D167" s="764"/>
      <c r="E167" s="764" t="str">
        <f>+B166</f>
        <v>ABA090</v>
      </c>
      <c r="F167" s="327">
        <v>176821.74</v>
      </c>
      <c r="G167" s="327">
        <v>162894.51999999999</v>
      </c>
    </row>
    <row r="168" spans="1:7">
      <c r="A168" s="760" t="s">
        <v>1967</v>
      </c>
      <c r="B168" s="310" t="s">
        <v>3021</v>
      </c>
      <c r="C168" s="310" t="s">
        <v>3022</v>
      </c>
      <c r="D168" s="321"/>
      <c r="E168" s="321"/>
      <c r="F168" s="326"/>
      <c r="G168" s="326"/>
    </row>
    <row r="169" spans="1:7">
      <c r="A169" s="312" t="s">
        <v>1969</v>
      </c>
      <c r="B169" s="312" t="s">
        <v>3996</v>
      </c>
      <c r="C169" s="313" t="s">
        <v>3526</v>
      </c>
      <c r="D169" s="764"/>
      <c r="E169" s="764" t="str">
        <f>+B168</f>
        <v>ABA100</v>
      </c>
      <c r="F169" s="327"/>
      <c r="G169" s="327"/>
    </row>
    <row r="170" spans="1:7">
      <c r="A170" s="760" t="s">
        <v>1965</v>
      </c>
      <c r="B170" s="310" t="s">
        <v>3023</v>
      </c>
      <c r="C170" s="310" t="s">
        <v>3024</v>
      </c>
      <c r="D170" s="321"/>
      <c r="E170" s="321"/>
      <c r="F170" s="326"/>
      <c r="G170" s="326"/>
    </row>
    <row r="171" spans="1:7">
      <c r="A171" s="760" t="s">
        <v>1967</v>
      </c>
      <c r="B171" s="310" t="s">
        <v>3025</v>
      </c>
      <c r="C171" s="310" t="s">
        <v>3026</v>
      </c>
      <c r="D171" s="321"/>
      <c r="E171" s="321"/>
      <c r="F171" s="326"/>
      <c r="G171" s="326"/>
    </row>
    <row r="172" spans="1:7">
      <c r="A172" s="312" t="s">
        <v>1969</v>
      </c>
      <c r="B172" s="312" t="s">
        <v>3997</v>
      </c>
      <c r="C172" s="313" t="s">
        <v>3998</v>
      </c>
      <c r="D172" s="764"/>
      <c r="E172" s="764" t="str">
        <f>+B171</f>
        <v>ABA120</v>
      </c>
      <c r="F172" s="327">
        <v>6890.17</v>
      </c>
      <c r="G172" s="327">
        <v>8699.36</v>
      </c>
    </row>
    <row r="173" spans="1:7">
      <c r="A173" s="760" t="s">
        <v>1967</v>
      </c>
      <c r="B173" s="310" t="s">
        <v>3027</v>
      </c>
      <c r="C173" s="310" t="s">
        <v>3028</v>
      </c>
      <c r="D173" s="321"/>
      <c r="E173" s="321"/>
      <c r="F173" s="326"/>
      <c r="G173" s="326"/>
    </row>
    <row r="174" spans="1:7">
      <c r="A174" s="312" t="s">
        <v>1969</v>
      </c>
      <c r="B174" s="312" t="s">
        <v>3999</v>
      </c>
      <c r="C174" s="313" t="s">
        <v>4000</v>
      </c>
      <c r="D174" s="764"/>
      <c r="E174" s="764" t="str">
        <f>+B173</f>
        <v>ABA130</v>
      </c>
      <c r="F174" s="327">
        <v>991791.42</v>
      </c>
      <c r="G174" s="327">
        <v>1153868.5</v>
      </c>
    </row>
    <row r="175" spans="1:7">
      <c r="A175" s="760" t="s">
        <v>1967</v>
      </c>
      <c r="B175" s="310" t="s">
        <v>3029</v>
      </c>
      <c r="C175" s="310" t="s">
        <v>3030</v>
      </c>
      <c r="D175" s="321"/>
      <c r="E175" s="321"/>
      <c r="F175" s="326"/>
      <c r="G175" s="326"/>
    </row>
    <row r="176" spans="1:7">
      <c r="A176" s="312" t="s">
        <v>1969</v>
      </c>
      <c r="B176" s="312" t="s">
        <v>4001</v>
      </c>
      <c r="C176" s="313" t="s">
        <v>4002</v>
      </c>
      <c r="D176" s="764"/>
      <c r="E176" s="764" t="str">
        <f>+B175</f>
        <v>ABA140</v>
      </c>
      <c r="F176" s="327"/>
      <c r="G176" s="327"/>
    </row>
    <row r="177" spans="1:8">
      <c r="A177" s="760" t="s">
        <v>1967</v>
      </c>
      <c r="B177" s="310" t="s">
        <v>3031</v>
      </c>
      <c r="C177" s="310" t="s">
        <v>3032</v>
      </c>
      <c r="D177" s="321"/>
      <c r="E177" s="321"/>
      <c r="F177" s="326"/>
      <c r="G177" s="326"/>
    </row>
    <row r="178" spans="1:8">
      <c r="A178" s="312" t="s">
        <v>1969</v>
      </c>
      <c r="B178" s="312" t="s">
        <v>4003</v>
      </c>
      <c r="C178" s="313" t="s">
        <v>4004</v>
      </c>
      <c r="D178" s="764"/>
      <c r="E178" s="764" t="str">
        <f>+B177</f>
        <v>ABA150</v>
      </c>
      <c r="F178" s="327">
        <v>190906.28</v>
      </c>
      <c r="G178" s="327">
        <v>185827.26</v>
      </c>
    </row>
    <row r="179" spans="1:8">
      <c r="A179" s="760" t="s">
        <v>1967</v>
      </c>
      <c r="B179" s="310" t="s">
        <v>3033</v>
      </c>
      <c r="C179" s="310" t="s">
        <v>3034</v>
      </c>
      <c r="D179" s="321"/>
      <c r="E179" s="321"/>
      <c r="F179" s="326"/>
      <c r="G179" s="326"/>
    </row>
    <row r="180" spans="1:8">
      <c r="A180" s="312" t="s">
        <v>1969</v>
      </c>
      <c r="B180" s="312" t="s">
        <v>4005</v>
      </c>
      <c r="C180" s="313" t="s">
        <v>4006</v>
      </c>
      <c r="D180" s="764"/>
      <c r="E180" s="764" t="str">
        <f>+B179</f>
        <v>ABA160</v>
      </c>
      <c r="F180" s="327">
        <v>1413.72</v>
      </c>
      <c r="G180" s="327">
        <v>16591.13</v>
      </c>
    </row>
    <row r="181" spans="1:8">
      <c r="A181" s="760" t="s">
        <v>1967</v>
      </c>
      <c r="B181" s="310" t="s">
        <v>3035</v>
      </c>
      <c r="C181" s="310" t="s">
        <v>3036</v>
      </c>
      <c r="D181" s="321"/>
      <c r="E181" s="321"/>
      <c r="F181" s="326"/>
      <c r="G181" s="326"/>
    </row>
    <row r="182" spans="1:8">
      <c r="A182" s="312" t="s">
        <v>1969</v>
      </c>
      <c r="B182" s="312" t="s">
        <v>4007</v>
      </c>
      <c r="C182" s="313" t="s">
        <v>4008</v>
      </c>
      <c r="D182" s="764"/>
      <c r="E182" s="764" t="str">
        <f>+B181</f>
        <v>ABA170</v>
      </c>
      <c r="F182" s="327">
        <v>7116.34</v>
      </c>
      <c r="G182" s="327">
        <v>6216.62</v>
      </c>
    </row>
    <row r="183" spans="1:8">
      <c r="A183" s="760" t="s">
        <v>1970</v>
      </c>
      <c r="B183" s="310" t="s">
        <v>3037</v>
      </c>
      <c r="C183" s="310" t="s">
        <v>3038</v>
      </c>
      <c r="D183" s="321"/>
      <c r="E183" s="321"/>
      <c r="F183" s="326"/>
      <c r="G183" s="326"/>
    </row>
    <row r="184" spans="1:8">
      <c r="A184" s="312" t="s">
        <v>1970</v>
      </c>
      <c r="B184" s="312" t="s">
        <v>4009</v>
      </c>
      <c r="C184" s="313" t="s">
        <v>3527</v>
      </c>
      <c r="D184" s="764"/>
      <c r="E184" s="764" t="str">
        <f>+B183</f>
        <v>ABA180</v>
      </c>
      <c r="F184" s="327"/>
      <c r="G184" s="327"/>
    </row>
    <row r="185" spans="1:8">
      <c r="A185" s="760" t="s">
        <v>1963</v>
      </c>
      <c r="B185" s="310" t="s">
        <v>3039</v>
      </c>
      <c r="C185" s="310" t="s">
        <v>4010</v>
      </c>
      <c r="D185" s="321"/>
      <c r="E185" s="321"/>
      <c r="F185" s="326"/>
      <c r="G185" s="326"/>
    </row>
    <row r="186" spans="1:8">
      <c r="A186" s="760" t="s">
        <v>1965</v>
      </c>
      <c r="B186" s="310" t="s">
        <v>3041</v>
      </c>
      <c r="C186" s="310" t="s">
        <v>3042</v>
      </c>
      <c r="D186" s="321"/>
      <c r="E186" s="321"/>
      <c r="F186" s="326"/>
      <c r="G186" s="326"/>
    </row>
    <row r="187" spans="1:8">
      <c r="A187" s="760" t="s">
        <v>1967</v>
      </c>
      <c r="B187" s="310" t="s">
        <v>3043</v>
      </c>
      <c r="C187" s="310" t="s">
        <v>3044</v>
      </c>
      <c r="D187" s="321"/>
      <c r="E187" s="321"/>
      <c r="F187" s="326"/>
      <c r="G187" s="326"/>
    </row>
    <row r="188" spans="1:8">
      <c r="A188" s="312">
        <v>6</v>
      </c>
      <c r="B188" s="312" t="s">
        <v>4011</v>
      </c>
      <c r="C188" s="313" t="s">
        <v>3528</v>
      </c>
      <c r="D188" s="764"/>
      <c r="E188" s="764" t="str">
        <f>+B187</f>
        <v>ABA201</v>
      </c>
      <c r="F188" s="327"/>
      <c r="G188" s="327"/>
    </row>
    <row r="189" spans="1:8">
      <c r="A189" s="312" t="s">
        <v>1969</v>
      </c>
      <c r="B189" s="312" t="s">
        <v>4012</v>
      </c>
      <c r="C189" s="313" t="s">
        <v>3529</v>
      </c>
      <c r="D189" s="764"/>
      <c r="E189" s="764" t="str">
        <f>+E188</f>
        <v>ABA201</v>
      </c>
      <c r="F189" s="327"/>
      <c r="G189" s="327"/>
      <c r="H189" t="s">
        <v>3906</v>
      </c>
    </row>
    <row r="190" spans="1:8">
      <c r="A190" s="760" t="s">
        <v>1967</v>
      </c>
      <c r="B190" s="310" t="s">
        <v>3045</v>
      </c>
      <c r="C190" s="310" t="s">
        <v>3046</v>
      </c>
      <c r="D190" s="321"/>
      <c r="E190" s="321"/>
      <c r="F190" s="326"/>
      <c r="G190" s="326"/>
    </row>
    <row r="191" spans="1:8">
      <c r="A191" s="312">
        <v>6</v>
      </c>
      <c r="B191" s="312" t="s">
        <v>4013</v>
      </c>
      <c r="C191" s="313" t="s">
        <v>3530</v>
      </c>
      <c r="D191" s="764"/>
      <c r="E191" s="764" t="str">
        <f>+B190</f>
        <v>ABA220</v>
      </c>
      <c r="F191" s="327"/>
      <c r="G191" s="327"/>
    </row>
    <row r="192" spans="1:8">
      <c r="A192" s="312" t="s">
        <v>1969</v>
      </c>
      <c r="B192" s="312" t="s">
        <v>4014</v>
      </c>
      <c r="C192" s="313" t="s">
        <v>3531</v>
      </c>
      <c r="D192" s="764"/>
      <c r="E192" s="764" t="str">
        <f>+E191</f>
        <v>ABA220</v>
      </c>
      <c r="F192" s="327"/>
      <c r="G192" s="327"/>
      <c r="H192" t="s">
        <v>3906</v>
      </c>
    </row>
    <row r="193" spans="1:8">
      <c r="A193" s="760" t="s">
        <v>1967</v>
      </c>
      <c r="B193" s="310" t="s">
        <v>3047</v>
      </c>
      <c r="C193" s="310" t="s">
        <v>3048</v>
      </c>
      <c r="D193" s="321"/>
      <c r="E193" s="321"/>
      <c r="F193" s="326"/>
      <c r="G193" s="326"/>
    </row>
    <row r="194" spans="1:8">
      <c r="A194" s="312">
        <v>6</v>
      </c>
      <c r="B194" s="312" t="s">
        <v>4015</v>
      </c>
      <c r="C194" s="313" t="s">
        <v>3532</v>
      </c>
      <c r="D194" s="764"/>
      <c r="E194" s="764" t="str">
        <f>+B193</f>
        <v>ABA230</v>
      </c>
      <c r="F194" s="327"/>
      <c r="G194" s="327"/>
    </row>
    <row r="195" spans="1:8">
      <c r="A195" s="312" t="s">
        <v>1969</v>
      </c>
      <c r="B195" s="312" t="s">
        <v>4016</v>
      </c>
      <c r="C195" s="313" t="s">
        <v>3533</v>
      </c>
      <c r="D195" s="764"/>
      <c r="E195" s="764" t="str">
        <f>+E194</f>
        <v>ABA230</v>
      </c>
      <c r="F195" s="327"/>
      <c r="G195" s="327"/>
      <c r="H195" t="s">
        <v>3906</v>
      </c>
    </row>
    <row r="196" spans="1:8">
      <c r="A196" s="760" t="s">
        <v>1967</v>
      </c>
      <c r="B196" s="310" t="s">
        <v>3049</v>
      </c>
      <c r="C196" s="310" t="s">
        <v>3050</v>
      </c>
      <c r="D196" s="321"/>
      <c r="E196" s="321"/>
      <c r="F196" s="326"/>
      <c r="G196" s="326"/>
    </row>
    <row r="197" spans="1:8">
      <c r="A197" s="312">
        <v>6</v>
      </c>
      <c r="B197" s="312" t="s">
        <v>4017</v>
      </c>
      <c r="C197" s="313" t="s">
        <v>3534</v>
      </c>
      <c r="D197" s="764"/>
      <c r="E197" s="764" t="str">
        <f>+B196</f>
        <v>ABA240</v>
      </c>
      <c r="F197" s="327"/>
      <c r="G197" s="327"/>
    </row>
    <row r="198" spans="1:8">
      <c r="A198" s="312" t="s">
        <v>1969</v>
      </c>
      <c r="B198" s="312" t="s">
        <v>4018</v>
      </c>
      <c r="C198" s="313" t="s">
        <v>3535</v>
      </c>
      <c r="D198" s="764"/>
      <c r="E198" s="764" t="str">
        <f>+E197</f>
        <v>ABA240</v>
      </c>
      <c r="F198" s="327"/>
      <c r="G198" s="327"/>
      <c r="H198" t="s">
        <v>3906</v>
      </c>
    </row>
    <row r="199" spans="1:8" ht="25.5">
      <c r="A199" s="760" t="s">
        <v>1967</v>
      </c>
      <c r="B199" s="310" t="s">
        <v>3051</v>
      </c>
      <c r="C199" s="310" t="s">
        <v>3052</v>
      </c>
      <c r="D199" s="321"/>
      <c r="E199" s="321"/>
      <c r="F199" s="326"/>
      <c r="G199" s="326"/>
    </row>
    <row r="200" spans="1:8">
      <c r="A200" s="312">
        <v>6</v>
      </c>
      <c r="B200" s="312" t="s">
        <v>4019</v>
      </c>
      <c r="C200" s="313" t="s">
        <v>3536</v>
      </c>
      <c r="D200" s="764"/>
      <c r="E200" s="764" t="str">
        <f>+B199</f>
        <v>ABA250</v>
      </c>
      <c r="F200" s="327"/>
      <c r="G200" s="327"/>
    </row>
    <row r="201" spans="1:8" ht="24">
      <c r="A201" s="312" t="s">
        <v>1969</v>
      </c>
      <c r="B201" s="312" t="s">
        <v>4020</v>
      </c>
      <c r="C201" s="313" t="s">
        <v>3537</v>
      </c>
      <c r="D201" s="764"/>
      <c r="E201" s="764" t="str">
        <f>+E200</f>
        <v>ABA250</v>
      </c>
      <c r="F201" s="327"/>
      <c r="G201" s="327"/>
      <c r="H201" t="s">
        <v>3906</v>
      </c>
    </row>
    <row r="202" spans="1:8">
      <c r="A202" s="760" t="s">
        <v>1967</v>
      </c>
      <c r="B202" s="310" t="s">
        <v>3053</v>
      </c>
      <c r="C202" s="310" t="s">
        <v>3054</v>
      </c>
      <c r="D202" s="321"/>
      <c r="E202" s="321"/>
      <c r="F202" s="326"/>
      <c r="G202" s="326"/>
    </row>
    <row r="203" spans="1:8">
      <c r="A203" s="312">
        <v>6</v>
      </c>
      <c r="B203" s="312" t="s">
        <v>4021</v>
      </c>
      <c r="C203" s="313" t="s">
        <v>3538</v>
      </c>
      <c r="D203" s="764"/>
      <c r="E203" s="764" t="str">
        <f>+B202</f>
        <v>ABA260</v>
      </c>
      <c r="F203" s="327"/>
      <c r="G203" s="327"/>
    </row>
    <row r="204" spans="1:8" ht="24">
      <c r="A204" s="312" t="s">
        <v>1969</v>
      </c>
      <c r="B204" s="312" t="s">
        <v>4022</v>
      </c>
      <c r="C204" s="313" t="s">
        <v>3539</v>
      </c>
      <c r="D204" s="764"/>
      <c r="E204" s="764" t="str">
        <f>+E203</f>
        <v>ABA260</v>
      </c>
      <c r="F204" s="327"/>
      <c r="G204" s="327"/>
      <c r="H204" t="s">
        <v>3906</v>
      </c>
    </row>
    <row r="205" spans="1:8">
      <c r="A205" s="760" t="s">
        <v>1967</v>
      </c>
      <c r="B205" s="310" t="s">
        <v>3055</v>
      </c>
      <c r="C205" s="310" t="s">
        <v>3056</v>
      </c>
      <c r="D205" s="321"/>
      <c r="E205" s="321"/>
      <c r="F205" s="326"/>
      <c r="G205" s="326"/>
    </row>
    <row r="206" spans="1:8">
      <c r="A206" s="312">
        <v>6</v>
      </c>
      <c r="B206" s="312" t="s">
        <v>4023</v>
      </c>
      <c r="C206" s="313" t="s">
        <v>3540</v>
      </c>
      <c r="D206" s="764"/>
      <c r="E206" s="764" t="str">
        <f>+B205</f>
        <v>ABA270</v>
      </c>
      <c r="F206" s="327"/>
      <c r="G206" s="327"/>
    </row>
    <row r="207" spans="1:8">
      <c r="A207" s="312">
        <v>6</v>
      </c>
      <c r="B207" s="312" t="s">
        <v>4024</v>
      </c>
      <c r="C207" s="313" t="s">
        <v>4025</v>
      </c>
      <c r="D207" s="764"/>
      <c r="E207" s="764" t="str">
        <f>+E206</f>
        <v>ABA270</v>
      </c>
      <c r="F207" s="327"/>
      <c r="G207" s="327">
        <v>0</v>
      </c>
    </row>
    <row r="208" spans="1:8">
      <c r="A208" s="312">
        <v>6</v>
      </c>
      <c r="B208" s="312" t="s">
        <v>4026</v>
      </c>
      <c r="C208" s="313" t="s">
        <v>4027</v>
      </c>
      <c r="D208" s="764"/>
      <c r="E208" s="764" t="str">
        <f>+E207</f>
        <v>ABA270</v>
      </c>
      <c r="F208" s="327"/>
      <c r="G208" s="327"/>
    </row>
    <row r="209" spans="1:8">
      <c r="A209" s="312" t="s">
        <v>1969</v>
      </c>
      <c r="B209" s="312" t="s">
        <v>4028</v>
      </c>
      <c r="C209" s="313" t="s">
        <v>3541</v>
      </c>
      <c r="D209" s="764"/>
      <c r="E209" s="764" t="str">
        <f>+E208</f>
        <v>ABA270</v>
      </c>
      <c r="F209" s="327"/>
      <c r="G209" s="327"/>
      <c r="H209" t="s">
        <v>3906</v>
      </c>
    </row>
    <row r="210" spans="1:8">
      <c r="A210" s="760" t="s">
        <v>1967</v>
      </c>
      <c r="B210" s="310" t="s">
        <v>3057</v>
      </c>
      <c r="C210" s="310" t="s">
        <v>4029</v>
      </c>
      <c r="D210" s="321"/>
      <c r="E210" s="321"/>
      <c r="F210" s="326"/>
      <c r="G210" s="326"/>
    </row>
    <row r="211" spans="1:8">
      <c r="A211" s="312">
        <v>6</v>
      </c>
      <c r="B211" s="312" t="s">
        <v>4030</v>
      </c>
      <c r="C211" s="313" t="s">
        <v>3542</v>
      </c>
      <c r="D211" s="764"/>
      <c r="E211" s="764" t="str">
        <f>+B210</f>
        <v>ABA271</v>
      </c>
      <c r="F211" s="327"/>
      <c r="G211" s="327"/>
    </row>
    <row r="212" spans="1:8" ht="24">
      <c r="A212" s="312" t="s">
        <v>1969</v>
      </c>
      <c r="B212" s="312" t="s">
        <v>4031</v>
      </c>
      <c r="C212" s="313" t="s">
        <v>3543</v>
      </c>
      <c r="D212" s="764"/>
      <c r="E212" s="764" t="str">
        <f>+E211</f>
        <v>ABA271</v>
      </c>
      <c r="F212" s="327"/>
      <c r="G212" s="327"/>
      <c r="H212" t="s">
        <v>3906</v>
      </c>
    </row>
    <row r="213" spans="1:8">
      <c r="A213" s="760" t="s">
        <v>1967</v>
      </c>
      <c r="B213" s="310" t="s">
        <v>3059</v>
      </c>
      <c r="C213" s="310" t="s">
        <v>3060</v>
      </c>
      <c r="D213" s="321"/>
      <c r="E213" s="321"/>
      <c r="F213" s="326"/>
      <c r="G213" s="326"/>
    </row>
    <row r="214" spans="1:8">
      <c r="A214" s="312">
        <v>6</v>
      </c>
      <c r="B214" s="312" t="s">
        <v>4032</v>
      </c>
      <c r="C214" s="313" t="s">
        <v>3544</v>
      </c>
      <c r="D214" s="764"/>
      <c r="E214" s="764" t="str">
        <f>+B213</f>
        <v>ABA280</v>
      </c>
      <c r="F214" s="327"/>
      <c r="G214" s="327"/>
    </row>
    <row r="215" spans="1:8">
      <c r="A215" s="312" t="s">
        <v>1969</v>
      </c>
      <c r="B215" s="312" t="s">
        <v>4033</v>
      </c>
      <c r="C215" s="313" t="s">
        <v>3545</v>
      </c>
      <c r="D215" s="764"/>
      <c r="E215" s="764" t="str">
        <f>+E214</f>
        <v>ABA280</v>
      </c>
      <c r="F215" s="327"/>
      <c r="G215" s="327"/>
      <c r="H215" t="s">
        <v>3906</v>
      </c>
    </row>
    <row r="216" spans="1:8">
      <c r="A216" s="760" t="s">
        <v>1967</v>
      </c>
      <c r="B216" s="310" t="s">
        <v>3061</v>
      </c>
      <c r="C216" s="310" t="s">
        <v>3062</v>
      </c>
      <c r="D216" s="321"/>
      <c r="E216" s="321"/>
      <c r="F216" s="326"/>
      <c r="G216" s="326"/>
    </row>
    <row r="217" spans="1:8">
      <c r="A217" s="760" t="s">
        <v>1969</v>
      </c>
      <c r="B217" s="310" t="s">
        <v>3063</v>
      </c>
      <c r="C217" s="310" t="s">
        <v>3064</v>
      </c>
      <c r="D217" s="321"/>
      <c r="E217" s="321"/>
      <c r="F217" s="326"/>
      <c r="G217" s="326"/>
    </row>
    <row r="218" spans="1:8">
      <c r="A218" s="312">
        <v>7</v>
      </c>
      <c r="B218" s="312" t="s">
        <v>4034</v>
      </c>
      <c r="C218" s="313" t="s">
        <v>3546</v>
      </c>
      <c r="D218" s="764"/>
      <c r="E218" s="764" t="str">
        <f>+B217</f>
        <v>ABA300</v>
      </c>
      <c r="F218" s="327"/>
      <c r="G218" s="327"/>
    </row>
    <row r="219" spans="1:8" ht="24">
      <c r="A219" s="312" t="s">
        <v>1970</v>
      </c>
      <c r="B219" s="312" t="s">
        <v>4035</v>
      </c>
      <c r="C219" s="313" t="s">
        <v>3547</v>
      </c>
      <c r="D219" s="764"/>
      <c r="E219" s="764" t="str">
        <f>+E218</f>
        <v>ABA300</v>
      </c>
      <c r="F219" s="327"/>
      <c r="G219" s="327"/>
      <c r="H219" t="s">
        <v>3906</v>
      </c>
    </row>
    <row r="220" spans="1:8">
      <c r="A220" s="760" t="s">
        <v>1969</v>
      </c>
      <c r="B220" s="310" t="s">
        <v>3065</v>
      </c>
      <c r="C220" s="310" t="s">
        <v>3066</v>
      </c>
      <c r="D220" s="321"/>
      <c r="E220" s="321"/>
      <c r="F220" s="326"/>
      <c r="G220" s="326"/>
    </row>
    <row r="221" spans="1:8">
      <c r="A221" s="312">
        <v>7</v>
      </c>
      <c r="B221" s="312" t="s">
        <v>4036</v>
      </c>
      <c r="C221" s="313" t="s">
        <v>3548</v>
      </c>
      <c r="D221" s="764"/>
      <c r="E221" s="764" t="str">
        <f>+B220</f>
        <v>ABA310</v>
      </c>
      <c r="F221" s="327"/>
      <c r="G221" s="327"/>
    </row>
    <row r="222" spans="1:8" ht="24">
      <c r="A222" s="312" t="s">
        <v>1970</v>
      </c>
      <c r="B222" s="312" t="s">
        <v>4037</v>
      </c>
      <c r="C222" s="313" t="s">
        <v>3549</v>
      </c>
      <c r="D222" s="764"/>
      <c r="E222" s="764" t="str">
        <f>+E221</f>
        <v>ABA310</v>
      </c>
      <c r="F222" s="327"/>
      <c r="G222" s="327"/>
      <c r="H222" t="s">
        <v>3906</v>
      </c>
    </row>
    <row r="223" spans="1:8">
      <c r="A223" s="760" t="s">
        <v>1969</v>
      </c>
      <c r="B223" s="310" t="s">
        <v>3067</v>
      </c>
      <c r="C223" s="310" t="s">
        <v>4038</v>
      </c>
      <c r="D223" s="321"/>
      <c r="E223" s="321"/>
      <c r="F223" s="326"/>
      <c r="G223" s="326"/>
    </row>
    <row r="224" spans="1:8">
      <c r="A224" s="312">
        <v>7</v>
      </c>
      <c r="B224" s="312" t="s">
        <v>4039</v>
      </c>
      <c r="C224" s="313" t="s">
        <v>3550</v>
      </c>
      <c r="D224" s="764"/>
      <c r="E224" s="764" t="str">
        <f>+B223</f>
        <v>ABA320</v>
      </c>
      <c r="F224" s="327"/>
      <c r="G224" s="327"/>
    </row>
    <row r="225" spans="1:8">
      <c r="A225" s="312">
        <v>7</v>
      </c>
      <c r="B225" s="312" t="s">
        <v>4040</v>
      </c>
      <c r="C225" s="313" t="s">
        <v>3551</v>
      </c>
      <c r="D225" s="764"/>
      <c r="E225" s="764" t="str">
        <f>+E224</f>
        <v>ABA320</v>
      </c>
      <c r="F225" s="327"/>
      <c r="G225" s="327"/>
    </row>
    <row r="226" spans="1:8">
      <c r="A226" s="312">
        <v>7</v>
      </c>
      <c r="B226" s="312" t="s">
        <v>4041</v>
      </c>
      <c r="C226" s="313" t="s">
        <v>4042</v>
      </c>
      <c r="D226" s="764"/>
      <c r="E226" s="764" t="str">
        <f>+E225</f>
        <v>ABA320</v>
      </c>
      <c r="F226" s="327"/>
      <c r="G226" s="327">
        <v>0</v>
      </c>
    </row>
    <row r="227" spans="1:8" ht="24">
      <c r="A227" s="312" t="s">
        <v>1970</v>
      </c>
      <c r="B227" s="312" t="s">
        <v>4043</v>
      </c>
      <c r="C227" s="313" t="s">
        <v>4044</v>
      </c>
      <c r="D227" s="764"/>
      <c r="E227" s="764" t="str">
        <f>+E226</f>
        <v>ABA320</v>
      </c>
      <c r="F227" s="327"/>
      <c r="G227" s="327"/>
      <c r="H227" t="s">
        <v>3906</v>
      </c>
    </row>
    <row r="228" spans="1:8">
      <c r="A228" s="760" t="s">
        <v>1969</v>
      </c>
      <c r="B228" s="310" t="s">
        <v>3069</v>
      </c>
      <c r="C228" s="310" t="s">
        <v>3070</v>
      </c>
      <c r="D228" s="321"/>
      <c r="E228" s="321"/>
      <c r="F228" s="326"/>
      <c r="G228" s="326"/>
    </row>
    <row r="229" spans="1:8">
      <c r="A229" s="312">
        <v>7</v>
      </c>
      <c r="B229" s="312" t="s">
        <v>4045</v>
      </c>
      <c r="C229" s="313" t="s">
        <v>3552</v>
      </c>
      <c r="D229" s="764"/>
      <c r="E229" s="764" t="str">
        <f>+B228</f>
        <v>ABA330</v>
      </c>
      <c r="F229" s="327"/>
      <c r="G229" s="327"/>
    </row>
    <row r="230" spans="1:8" ht="24">
      <c r="A230" s="312" t="s">
        <v>1970</v>
      </c>
      <c r="B230" s="312" t="s">
        <v>4046</v>
      </c>
      <c r="C230" s="313" t="s">
        <v>3553</v>
      </c>
      <c r="D230" s="764"/>
      <c r="E230" s="764" t="str">
        <f>+E229</f>
        <v>ABA330</v>
      </c>
      <c r="F230" s="327"/>
      <c r="G230" s="327"/>
      <c r="H230" t="s">
        <v>3906</v>
      </c>
    </row>
    <row r="231" spans="1:8">
      <c r="A231" s="760" t="s">
        <v>1967</v>
      </c>
      <c r="B231" s="310" t="s">
        <v>3071</v>
      </c>
      <c r="C231" s="310" t="s">
        <v>3072</v>
      </c>
      <c r="D231" s="321"/>
      <c r="E231" s="321"/>
      <c r="F231" s="326"/>
      <c r="G231" s="326"/>
    </row>
    <row r="232" spans="1:8">
      <c r="A232" s="312">
        <v>6</v>
      </c>
      <c r="B232" s="312" t="s">
        <v>4047</v>
      </c>
      <c r="C232" s="313" t="s">
        <v>3554</v>
      </c>
      <c r="D232" s="764"/>
      <c r="E232" s="764" t="str">
        <f>+B231</f>
        <v>ABA340</v>
      </c>
      <c r="F232" s="327"/>
      <c r="G232" s="327"/>
    </row>
    <row r="233" spans="1:8">
      <c r="A233" s="312">
        <v>6</v>
      </c>
      <c r="B233" s="312" t="s">
        <v>4048</v>
      </c>
      <c r="C233" s="313" t="s">
        <v>4049</v>
      </c>
      <c r="D233" s="764"/>
      <c r="E233" s="764" t="str">
        <f>+E232</f>
        <v>ABA340</v>
      </c>
      <c r="F233" s="327"/>
      <c r="G233" s="327"/>
    </row>
    <row r="234" spans="1:8">
      <c r="A234" s="312">
        <v>6</v>
      </c>
      <c r="B234" s="312" t="s">
        <v>4050</v>
      </c>
      <c r="C234" s="313" t="s">
        <v>4051</v>
      </c>
      <c r="D234" s="764"/>
      <c r="E234" s="764" t="str">
        <f>+E233</f>
        <v>ABA340</v>
      </c>
      <c r="F234" s="327"/>
      <c r="G234" s="327"/>
    </row>
    <row r="235" spans="1:8">
      <c r="A235" s="312" t="s">
        <v>1969</v>
      </c>
      <c r="B235" s="312" t="s">
        <v>4052</v>
      </c>
      <c r="C235" s="313" t="s">
        <v>3555</v>
      </c>
      <c r="D235" s="764"/>
      <c r="E235" s="764" t="str">
        <f>+E234</f>
        <v>ABA340</v>
      </c>
      <c r="F235" s="327"/>
      <c r="G235" s="327"/>
      <c r="H235" t="s">
        <v>3906</v>
      </c>
    </row>
    <row r="236" spans="1:8">
      <c r="A236" s="760" t="s">
        <v>1965</v>
      </c>
      <c r="B236" s="310" t="s">
        <v>3073</v>
      </c>
      <c r="C236" s="310" t="s">
        <v>3074</v>
      </c>
      <c r="D236" s="321"/>
      <c r="E236" s="321"/>
      <c r="F236" s="326"/>
      <c r="G236" s="326"/>
    </row>
    <row r="237" spans="1:8">
      <c r="A237" s="760" t="s">
        <v>1967</v>
      </c>
      <c r="B237" s="310" t="s">
        <v>3075</v>
      </c>
      <c r="C237" s="310" t="s">
        <v>3076</v>
      </c>
      <c r="D237" s="321"/>
      <c r="E237" s="321"/>
      <c r="F237" s="326"/>
      <c r="G237" s="326"/>
    </row>
    <row r="238" spans="1:8">
      <c r="A238" s="760" t="s">
        <v>1969</v>
      </c>
      <c r="B238" s="310" t="s">
        <v>3078</v>
      </c>
      <c r="C238" s="310" t="s">
        <v>3079</v>
      </c>
      <c r="D238" s="321"/>
      <c r="E238" s="321"/>
      <c r="F238" s="326"/>
      <c r="G238" s="326"/>
    </row>
    <row r="239" spans="1:8">
      <c r="A239" s="312">
        <v>7</v>
      </c>
      <c r="B239" s="312" t="s">
        <v>4053</v>
      </c>
      <c r="C239" s="313" t="s">
        <v>3556</v>
      </c>
      <c r="D239" s="764"/>
      <c r="E239" s="764" t="str">
        <f>+B238</f>
        <v>ABA390</v>
      </c>
      <c r="F239" s="327"/>
      <c r="G239" s="327">
        <v>0</v>
      </c>
    </row>
    <row r="240" spans="1:8">
      <c r="A240" s="312" t="s">
        <v>1970</v>
      </c>
      <c r="B240" s="312" t="s">
        <v>4054</v>
      </c>
      <c r="C240" s="313" t="s">
        <v>3557</v>
      </c>
      <c r="D240" s="764"/>
      <c r="E240" s="764" t="str">
        <f>+E239</f>
        <v>ABA390</v>
      </c>
      <c r="F240" s="327"/>
      <c r="G240" s="327"/>
      <c r="H240" t="s">
        <v>3906</v>
      </c>
    </row>
    <row r="241" spans="1:8" ht="25.5">
      <c r="A241" s="760" t="s">
        <v>1969</v>
      </c>
      <c r="B241" s="310" t="s">
        <v>3080</v>
      </c>
      <c r="C241" s="310" t="s">
        <v>3081</v>
      </c>
      <c r="D241" s="321" t="s">
        <v>1248</v>
      </c>
      <c r="E241" s="321"/>
      <c r="F241" s="326"/>
      <c r="G241" s="326"/>
    </row>
    <row r="242" spans="1:8">
      <c r="A242" s="312">
        <v>7</v>
      </c>
      <c r="B242" s="312" t="s">
        <v>4055</v>
      </c>
      <c r="C242" s="313" t="s">
        <v>3558</v>
      </c>
      <c r="D242" s="764" t="s">
        <v>1248</v>
      </c>
      <c r="E242" s="764" t="str">
        <f>+B241</f>
        <v>ABA400</v>
      </c>
      <c r="F242" s="327"/>
      <c r="G242" s="327"/>
    </row>
    <row r="243" spans="1:8" ht="24">
      <c r="A243" s="312" t="s">
        <v>1970</v>
      </c>
      <c r="B243" s="312" t="s">
        <v>4056</v>
      </c>
      <c r="C243" s="313" t="s">
        <v>3559</v>
      </c>
      <c r="D243" s="764" t="s">
        <v>1248</v>
      </c>
      <c r="E243" s="764" t="str">
        <f>+E242</f>
        <v>ABA400</v>
      </c>
      <c r="F243" s="327"/>
      <c r="G243" s="327"/>
      <c r="H243" t="s">
        <v>3906</v>
      </c>
    </row>
    <row r="244" spans="1:8" ht="25.5">
      <c r="A244" s="760" t="s">
        <v>1969</v>
      </c>
      <c r="B244" s="310" t="s">
        <v>3082</v>
      </c>
      <c r="C244" s="310" t="s">
        <v>3083</v>
      </c>
      <c r="D244" s="321"/>
      <c r="E244" s="321"/>
      <c r="F244" s="326"/>
      <c r="G244" s="326"/>
    </row>
    <row r="245" spans="1:8">
      <c r="A245" s="312">
        <v>7</v>
      </c>
      <c r="B245" s="312" t="s">
        <v>4057</v>
      </c>
      <c r="C245" s="313" t="s">
        <v>3560</v>
      </c>
      <c r="D245" s="764"/>
      <c r="E245" s="764" t="str">
        <f>+B244</f>
        <v>ABA410</v>
      </c>
      <c r="F245" s="327"/>
      <c r="G245" s="327"/>
    </row>
    <row r="246" spans="1:8" ht="24">
      <c r="A246" s="312">
        <v>7</v>
      </c>
      <c r="B246" s="312" t="s">
        <v>4058</v>
      </c>
      <c r="C246" s="313" t="s">
        <v>3561</v>
      </c>
      <c r="D246" s="764"/>
      <c r="E246" s="764" t="str">
        <f>+E245</f>
        <v>ABA410</v>
      </c>
      <c r="F246" s="327"/>
      <c r="G246" s="327"/>
      <c r="H246" t="s">
        <v>3906</v>
      </c>
    </row>
    <row r="247" spans="1:8" ht="25.5">
      <c r="A247" s="760" t="s">
        <v>1969</v>
      </c>
      <c r="B247" s="310" t="s">
        <v>3084</v>
      </c>
      <c r="C247" s="310" t="s">
        <v>3085</v>
      </c>
      <c r="D247" s="321"/>
      <c r="E247" s="321"/>
      <c r="F247" s="326"/>
      <c r="G247" s="326"/>
    </row>
    <row r="248" spans="1:8">
      <c r="A248" s="312">
        <v>7</v>
      </c>
      <c r="B248" s="312" t="s">
        <v>4059</v>
      </c>
      <c r="C248" s="313" t="s">
        <v>3562</v>
      </c>
      <c r="D248" s="764"/>
      <c r="E248" s="764" t="str">
        <f>+B247</f>
        <v>ABA420</v>
      </c>
      <c r="F248" s="327"/>
      <c r="G248" s="327"/>
    </row>
    <row r="249" spans="1:8" ht="24">
      <c r="A249" s="312">
        <v>7</v>
      </c>
      <c r="B249" s="312" t="s">
        <v>4060</v>
      </c>
      <c r="C249" s="313" t="s">
        <v>3563</v>
      </c>
      <c r="D249" s="764"/>
      <c r="E249" s="764" t="str">
        <f>+E248</f>
        <v>ABA420</v>
      </c>
      <c r="F249" s="327"/>
      <c r="G249" s="327"/>
      <c r="H249" t="s">
        <v>3906</v>
      </c>
    </row>
    <row r="250" spans="1:8" ht="25.5">
      <c r="A250" s="760" t="s">
        <v>1969</v>
      </c>
      <c r="B250" s="310" t="s">
        <v>3086</v>
      </c>
      <c r="C250" s="310" t="s">
        <v>4061</v>
      </c>
      <c r="D250" s="321"/>
      <c r="E250" s="321"/>
      <c r="F250" s="326"/>
      <c r="G250" s="326"/>
    </row>
    <row r="251" spans="1:8" ht="24">
      <c r="A251" s="312">
        <v>7</v>
      </c>
      <c r="B251" s="312" t="s">
        <v>4062</v>
      </c>
      <c r="C251" s="313" t="s">
        <v>3564</v>
      </c>
      <c r="D251" s="764"/>
      <c r="E251" s="764" t="str">
        <f>+B250</f>
        <v>ABA430</v>
      </c>
      <c r="F251" s="327"/>
      <c r="G251" s="327"/>
    </row>
    <row r="252" spans="1:8" ht="24">
      <c r="A252" s="312" t="s">
        <v>1970</v>
      </c>
      <c r="B252" s="312" t="s">
        <v>4063</v>
      </c>
      <c r="C252" s="313" t="s">
        <v>3565</v>
      </c>
      <c r="D252" s="764"/>
      <c r="E252" s="764" t="str">
        <f>+E251</f>
        <v>ABA430</v>
      </c>
      <c r="F252" s="327"/>
      <c r="G252" s="327"/>
      <c r="H252" t="s">
        <v>3906</v>
      </c>
    </row>
    <row r="253" spans="1:8" ht="25.5">
      <c r="A253" s="760" t="s">
        <v>1969</v>
      </c>
      <c r="B253" s="310" t="s">
        <v>3088</v>
      </c>
      <c r="C253" s="310" t="s">
        <v>4064</v>
      </c>
      <c r="D253" s="321"/>
      <c r="E253" s="321"/>
      <c r="F253" s="326"/>
      <c r="G253" s="326"/>
    </row>
    <row r="254" spans="1:8" ht="24">
      <c r="A254" s="312">
        <v>7</v>
      </c>
      <c r="B254" s="312" t="s">
        <v>4065</v>
      </c>
      <c r="C254" s="313" t="s">
        <v>3566</v>
      </c>
      <c r="D254" s="764"/>
      <c r="E254" s="764" t="str">
        <f>+B253</f>
        <v>ABA440</v>
      </c>
      <c r="F254" s="327"/>
      <c r="G254" s="327"/>
    </row>
    <row r="255" spans="1:8" ht="24">
      <c r="A255" s="312" t="s">
        <v>1970</v>
      </c>
      <c r="B255" s="312" t="s">
        <v>4066</v>
      </c>
      <c r="C255" s="313" t="s">
        <v>3567</v>
      </c>
      <c r="D255" s="764"/>
      <c r="E255" s="764" t="str">
        <f>+E254</f>
        <v>ABA440</v>
      </c>
      <c r="F255" s="327"/>
      <c r="G255" s="327"/>
      <c r="H255" t="s">
        <v>3906</v>
      </c>
    </row>
    <row r="256" spans="1:8" ht="25.5">
      <c r="A256" s="760" t="s">
        <v>1969</v>
      </c>
      <c r="B256" s="310" t="s">
        <v>3090</v>
      </c>
      <c r="C256" s="310" t="s">
        <v>3091</v>
      </c>
      <c r="D256" s="321"/>
      <c r="E256" s="321"/>
      <c r="F256" s="326"/>
      <c r="G256" s="326"/>
    </row>
    <row r="257" spans="1:8">
      <c r="A257" s="312">
        <v>7</v>
      </c>
      <c r="B257" s="312" t="s">
        <v>4067</v>
      </c>
      <c r="C257" s="313" t="s">
        <v>3568</v>
      </c>
      <c r="D257" s="764"/>
      <c r="E257" s="764" t="str">
        <f>+B256</f>
        <v>ABA450</v>
      </c>
      <c r="F257" s="327">
        <v>27196515.039999999</v>
      </c>
      <c r="G257" s="327">
        <v>2547087.2999999998</v>
      </c>
    </row>
    <row r="258" spans="1:8" ht="24">
      <c r="A258" s="312">
        <v>7</v>
      </c>
      <c r="B258" s="312" t="s">
        <v>4068</v>
      </c>
      <c r="C258" s="313" t="s">
        <v>4069</v>
      </c>
      <c r="D258" s="764"/>
      <c r="E258" s="764" t="str">
        <f>+E257</f>
        <v>ABA450</v>
      </c>
      <c r="F258" s="327"/>
      <c r="G258" s="327"/>
    </row>
    <row r="259" spans="1:8" ht="24">
      <c r="A259" s="312">
        <v>7</v>
      </c>
      <c r="B259" s="312" t="s">
        <v>4070</v>
      </c>
      <c r="C259" s="313" t="s">
        <v>4071</v>
      </c>
      <c r="D259" s="764"/>
      <c r="E259" s="764" t="str">
        <f>+E258</f>
        <v>ABA450</v>
      </c>
      <c r="F259" s="327"/>
      <c r="G259" s="327"/>
    </row>
    <row r="260" spans="1:8" ht="24">
      <c r="A260" s="312" t="s">
        <v>1970</v>
      </c>
      <c r="B260" s="312" t="s">
        <v>4072</v>
      </c>
      <c r="C260" s="313" t="s">
        <v>3569</v>
      </c>
      <c r="D260" s="764"/>
      <c r="E260" s="764" t="str">
        <f>+E259</f>
        <v>ABA450</v>
      </c>
      <c r="F260" s="327"/>
      <c r="G260" s="327"/>
      <c r="H260" t="s">
        <v>3906</v>
      </c>
    </row>
    <row r="261" spans="1:8" ht="25.5">
      <c r="A261" s="760" t="s">
        <v>1969</v>
      </c>
      <c r="B261" s="310" t="s">
        <v>3092</v>
      </c>
      <c r="C261" s="310" t="s">
        <v>4073</v>
      </c>
      <c r="D261" s="321"/>
      <c r="E261" s="321"/>
      <c r="F261" s="326"/>
      <c r="G261" s="326"/>
    </row>
    <row r="262" spans="1:8" ht="24">
      <c r="A262" s="312">
        <v>7</v>
      </c>
      <c r="B262" s="312" t="s">
        <v>4074</v>
      </c>
      <c r="C262" s="313" t="s">
        <v>3570</v>
      </c>
      <c r="D262" s="764"/>
      <c r="E262" s="764" t="str">
        <f>+B261</f>
        <v>ABA451</v>
      </c>
      <c r="F262" s="327"/>
      <c r="G262" s="327"/>
    </row>
    <row r="263" spans="1:8" ht="24">
      <c r="A263" s="312" t="s">
        <v>1970</v>
      </c>
      <c r="B263" s="312" t="s">
        <v>4075</v>
      </c>
      <c r="C263" s="313" t="s">
        <v>3571</v>
      </c>
      <c r="D263" s="764"/>
      <c r="E263" s="764" t="str">
        <f>+E262</f>
        <v>ABA451</v>
      </c>
      <c r="F263" s="327"/>
      <c r="G263" s="327"/>
      <c r="H263" t="s">
        <v>3906</v>
      </c>
    </row>
    <row r="264" spans="1:8">
      <c r="A264" s="760" t="s">
        <v>1969</v>
      </c>
      <c r="B264" s="310" t="s">
        <v>3094</v>
      </c>
      <c r="C264" s="310" t="s">
        <v>3095</v>
      </c>
      <c r="D264" s="321"/>
      <c r="E264" s="321"/>
      <c r="F264" s="326"/>
      <c r="G264" s="326"/>
    </row>
    <row r="265" spans="1:8" ht="24">
      <c r="A265" s="312">
        <v>7</v>
      </c>
      <c r="B265" s="312" t="s">
        <v>4076</v>
      </c>
      <c r="C265" s="313" t="s">
        <v>3572</v>
      </c>
      <c r="D265" s="764"/>
      <c r="E265" s="764" t="str">
        <f>+B264</f>
        <v>ABA460</v>
      </c>
      <c r="F265" s="327"/>
      <c r="G265" s="327"/>
    </row>
    <row r="266" spans="1:8" ht="24">
      <c r="A266" s="312">
        <v>7</v>
      </c>
      <c r="B266" s="312" t="s">
        <v>4077</v>
      </c>
      <c r="C266" s="313" t="s">
        <v>3573</v>
      </c>
      <c r="D266" s="764"/>
      <c r="E266" s="764" t="str">
        <f>+E265</f>
        <v>ABA460</v>
      </c>
      <c r="F266" s="327">
        <v>682690.95</v>
      </c>
      <c r="G266" s="327">
        <v>682690.95</v>
      </c>
    </row>
    <row r="267" spans="1:8">
      <c r="A267" s="312">
        <v>7</v>
      </c>
      <c r="B267" s="312" t="s">
        <v>4078</v>
      </c>
      <c r="C267" s="313" t="s">
        <v>3574</v>
      </c>
      <c r="D267" s="764"/>
      <c r="E267" s="764" t="str">
        <f>+E266</f>
        <v>ABA460</v>
      </c>
      <c r="F267" s="327"/>
      <c r="G267" s="327"/>
    </row>
    <row r="268" spans="1:8">
      <c r="A268" s="312">
        <v>7</v>
      </c>
      <c r="B268" s="312" t="s">
        <v>4079</v>
      </c>
      <c r="C268" s="313" t="s">
        <v>3575</v>
      </c>
      <c r="D268" s="764"/>
      <c r="E268" s="764" t="str">
        <f>+E267</f>
        <v>ABA460</v>
      </c>
      <c r="F268" s="327"/>
      <c r="G268" s="327"/>
    </row>
    <row r="269" spans="1:8">
      <c r="A269" s="312" t="s">
        <v>1970</v>
      </c>
      <c r="B269" s="312" t="s">
        <v>4080</v>
      </c>
      <c r="C269" s="313" t="s">
        <v>3576</v>
      </c>
      <c r="D269" s="764"/>
      <c r="E269" s="764" t="str">
        <f>+E268</f>
        <v>ABA460</v>
      </c>
      <c r="F269" s="327"/>
      <c r="G269" s="327"/>
      <c r="H269" t="s">
        <v>3906</v>
      </c>
    </row>
    <row r="270" spans="1:8" ht="25.5">
      <c r="A270" s="760" t="s">
        <v>1969</v>
      </c>
      <c r="B270" s="310" t="s">
        <v>3096</v>
      </c>
      <c r="C270" s="310" t="s">
        <v>3097</v>
      </c>
      <c r="D270" s="321"/>
      <c r="E270" s="321"/>
      <c r="F270" s="326"/>
      <c r="G270" s="326"/>
    </row>
    <row r="271" spans="1:8">
      <c r="A271" s="312">
        <v>7</v>
      </c>
      <c r="B271" s="312" t="s">
        <v>4081</v>
      </c>
      <c r="C271" s="313" t="s">
        <v>3577</v>
      </c>
      <c r="D271" s="764"/>
      <c r="E271" s="764" t="str">
        <f>+B270</f>
        <v>ABA461</v>
      </c>
      <c r="F271" s="327"/>
      <c r="G271" s="327"/>
    </row>
    <row r="272" spans="1:8" ht="24">
      <c r="A272" s="312" t="s">
        <v>1970</v>
      </c>
      <c r="B272" s="312" t="s">
        <v>4082</v>
      </c>
      <c r="C272" s="313" t="s">
        <v>3578</v>
      </c>
      <c r="D272" s="764"/>
      <c r="E272" s="764" t="str">
        <f>+E271</f>
        <v>ABA461</v>
      </c>
      <c r="F272" s="327"/>
      <c r="G272" s="327"/>
      <c r="H272" t="s">
        <v>3906</v>
      </c>
    </row>
    <row r="273" spans="1:8" ht="25.5">
      <c r="A273" s="760" t="s">
        <v>1967</v>
      </c>
      <c r="B273" s="310" t="s">
        <v>3098</v>
      </c>
      <c r="C273" s="310" t="s">
        <v>3099</v>
      </c>
      <c r="D273" s="321"/>
      <c r="E273" s="321"/>
      <c r="F273" s="326"/>
      <c r="G273" s="326"/>
    </row>
    <row r="274" spans="1:8" ht="25.5">
      <c r="A274" s="760" t="s">
        <v>1969</v>
      </c>
      <c r="B274" s="310" t="s">
        <v>3100</v>
      </c>
      <c r="C274" s="310" t="s">
        <v>3101</v>
      </c>
      <c r="D274" s="321"/>
      <c r="E274" s="321"/>
      <c r="F274" s="326"/>
      <c r="G274" s="326"/>
    </row>
    <row r="275" spans="1:8">
      <c r="A275" s="312">
        <v>7</v>
      </c>
      <c r="B275" s="312" t="s">
        <v>4083</v>
      </c>
      <c r="C275" s="313" t="s">
        <v>3579</v>
      </c>
      <c r="D275" s="764"/>
      <c r="E275" s="764" t="str">
        <f>+B274</f>
        <v>ABA480</v>
      </c>
      <c r="F275" s="327">
        <v>12793869.67</v>
      </c>
      <c r="G275" s="327">
        <v>722912.34</v>
      </c>
    </row>
    <row r="276" spans="1:8" ht="24">
      <c r="A276" s="312" t="s">
        <v>1970</v>
      </c>
      <c r="B276" s="312" t="s">
        <v>4084</v>
      </c>
      <c r="C276" s="313" t="s">
        <v>3580</v>
      </c>
      <c r="D276" s="764"/>
      <c r="E276" s="764" t="str">
        <f>+E275</f>
        <v>ABA480</v>
      </c>
      <c r="F276" s="327"/>
      <c r="G276" s="327"/>
      <c r="H276" t="s">
        <v>3906</v>
      </c>
    </row>
    <row r="277" spans="1:8" ht="25.5">
      <c r="A277" s="760" t="s">
        <v>1969</v>
      </c>
      <c r="B277" s="310" t="s">
        <v>3102</v>
      </c>
      <c r="C277" s="310" t="s">
        <v>3103</v>
      </c>
      <c r="D277" s="321"/>
      <c r="E277" s="321"/>
      <c r="F277" s="326"/>
      <c r="G277" s="326"/>
    </row>
    <row r="278" spans="1:8">
      <c r="A278" s="312">
        <v>7</v>
      </c>
      <c r="B278" s="312" t="s">
        <v>4085</v>
      </c>
      <c r="C278" s="313" t="s">
        <v>3581</v>
      </c>
      <c r="D278" s="764"/>
      <c r="E278" s="764" t="str">
        <f>+B277</f>
        <v>ABA490</v>
      </c>
      <c r="F278" s="327"/>
      <c r="G278" s="327"/>
    </row>
    <row r="279" spans="1:8" ht="24">
      <c r="A279" s="312" t="s">
        <v>1970</v>
      </c>
      <c r="B279" s="312" t="s">
        <v>4086</v>
      </c>
      <c r="C279" s="313" t="s">
        <v>3582</v>
      </c>
      <c r="D279" s="764"/>
      <c r="E279" s="764" t="str">
        <f>+E278</f>
        <v>ABA490</v>
      </c>
      <c r="F279" s="327"/>
      <c r="G279" s="327"/>
      <c r="H279" t="s">
        <v>3906</v>
      </c>
    </row>
    <row r="280" spans="1:8">
      <c r="A280" s="760" t="s">
        <v>1969</v>
      </c>
      <c r="B280" s="310" t="s">
        <v>3104</v>
      </c>
      <c r="C280" s="310" t="s">
        <v>3105</v>
      </c>
      <c r="D280" s="321"/>
      <c r="E280" s="321"/>
      <c r="F280" s="326"/>
      <c r="G280" s="326"/>
    </row>
    <row r="281" spans="1:8">
      <c r="A281" s="312">
        <v>7</v>
      </c>
      <c r="B281" s="312" t="s">
        <v>4087</v>
      </c>
      <c r="C281" s="313" t="s">
        <v>2740</v>
      </c>
      <c r="D281" s="764"/>
      <c r="E281" s="764" t="str">
        <f>+B280</f>
        <v>ABA500</v>
      </c>
      <c r="F281" s="327"/>
      <c r="G281" s="327"/>
    </row>
    <row r="282" spans="1:8" ht="24">
      <c r="A282" s="312" t="s">
        <v>1970</v>
      </c>
      <c r="B282" s="312" t="s">
        <v>4088</v>
      </c>
      <c r="C282" s="313" t="s">
        <v>3583</v>
      </c>
      <c r="D282" s="764"/>
      <c r="E282" s="764" t="str">
        <f>+E281</f>
        <v>ABA500</v>
      </c>
      <c r="F282" s="327"/>
      <c r="G282" s="327"/>
      <c r="H282" t="s">
        <v>3906</v>
      </c>
    </row>
    <row r="283" spans="1:8" ht="38.25">
      <c r="A283" s="760" t="s">
        <v>1969</v>
      </c>
      <c r="B283" s="310" t="s">
        <v>3106</v>
      </c>
      <c r="C283" s="310" t="s">
        <v>4089</v>
      </c>
      <c r="D283" s="321"/>
      <c r="E283" s="321"/>
      <c r="F283" s="326"/>
      <c r="G283" s="326"/>
    </row>
    <row r="284" spans="1:8" ht="36">
      <c r="A284" s="312" t="s">
        <v>1970</v>
      </c>
      <c r="B284" s="312" t="s">
        <v>4090</v>
      </c>
      <c r="C284" s="313" t="s">
        <v>3584</v>
      </c>
      <c r="D284" s="764"/>
      <c r="E284" s="764" t="str">
        <f>+B283</f>
        <v>ABA501</v>
      </c>
      <c r="F284" s="327"/>
      <c r="G284" s="327"/>
    </row>
    <row r="285" spans="1:8">
      <c r="A285" s="760" t="s">
        <v>1969</v>
      </c>
      <c r="B285" s="310" t="s">
        <v>3108</v>
      </c>
      <c r="C285" s="310" t="s">
        <v>3109</v>
      </c>
      <c r="D285" s="321"/>
      <c r="E285" s="321"/>
      <c r="F285" s="326"/>
      <c r="G285" s="326"/>
    </row>
    <row r="286" spans="1:8">
      <c r="A286" s="312">
        <v>7</v>
      </c>
      <c r="B286" s="312" t="s">
        <v>4091</v>
      </c>
      <c r="C286" s="313" t="s">
        <v>3585</v>
      </c>
      <c r="D286" s="764"/>
      <c r="E286" s="764" t="str">
        <f>+B285</f>
        <v>ABA510</v>
      </c>
      <c r="F286" s="327"/>
      <c r="G286" s="327"/>
    </row>
    <row r="287" spans="1:8">
      <c r="A287" s="312" t="s">
        <v>1970</v>
      </c>
      <c r="B287" s="312" t="s">
        <v>4092</v>
      </c>
      <c r="C287" s="313" t="s">
        <v>3586</v>
      </c>
      <c r="D287" s="764"/>
      <c r="E287" s="764" t="str">
        <f>+E286</f>
        <v>ABA510</v>
      </c>
      <c r="F287" s="327"/>
      <c r="G287" s="327"/>
      <c r="H287" t="s">
        <v>3906</v>
      </c>
    </row>
    <row r="288" spans="1:8" ht="25.5">
      <c r="A288" s="760" t="s">
        <v>1969</v>
      </c>
      <c r="B288" s="310" t="s">
        <v>3110</v>
      </c>
      <c r="C288" s="310" t="s">
        <v>4093</v>
      </c>
      <c r="D288" s="321"/>
      <c r="E288" s="321"/>
      <c r="F288" s="326"/>
      <c r="G288" s="326"/>
    </row>
    <row r="289" spans="1:8" ht="24">
      <c r="A289" s="312">
        <v>7</v>
      </c>
      <c r="B289" s="312" t="s">
        <v>4094</v>
      </c>
      <c r="C289" s="313" t="s">
        <v>2741</v>
      </c>
      <c r="D289" s="764"/>
      <c r="E289" s="764" t="str">
        <f>+B288</f>
        <v>ABA520</v>
      </c>
      <c r="F289" s="327"/>
      <c r="G289" s="327"/>
    </row>
    <row r="290" spans="1:8" ht="24">
      <c r="A290" s="312" t="s">
        <v>1970</v>
      </c>
      <c r="B290" s="312" t="s">
        <v>4095</v>
      </c>
      <c r="C290" s="313" t="s">
        <v>3587</v>
      </c>
      <c r="D290" s="764"/>
      <c r="E290" s="764" t="str">
        <f>+E289</f>
        <v>ABA520</v>
      </c>
      <c r="F290" s="327"/>
      <c r="G290" s="327"/>
      <c r="H290" t="s">
        <v>3906</v>
      </c>
    </row>
    <row r="291" spans="1:8">
      <c r="A291" s="760" t="s">
        <v>1967</v>
      </c>
      <c r="B291" s="310" t="s">
        <v>3112</v>
      </c>
      <c r="C291" s="310" t="s">
        <v>4096</v>
      </c>
      <c r="D291" s="321"/>
      <c r="E291" s="321"/>
      <c r="F291" s="326"/>
      <c r="G291" s="326"/>
    </row>
    <row r="292" spans="1:8">
      <c r="A292" s="312" t="s">
        <v>1969</v>
      </c>
      <c r="B292" s="312" t="s">
        <v>4097</v>
      </c>
      <c r="C292" s="313" t="s">
        <v>4098</v>
      </c>
      <c r="D292" s="764"/>
      <c r="E292" s="764" t="str">
        <f>+B291</f>
        <v>ABA521</v>
      </c>
      <c r="F292" s="327"/>
      <c r="G292" s="327"/>
    </row>
    <row r="293" spans="1:8" ht="25.5">
      <c r="A293" s="760" t="s">
        <v>1967</v>
      </c>
      <c r="B293" s="310" t="s">
        <v>3114</v>
      </c>
      <c r="C293" s="310" t="s">
        <v>4099</v>
      </c>
      <c r="D293" s="321"/>
      <c r="E293" s="321"/>
      <c r="F293" s="326"/>
      <c r="G293" s="326"/>
    </row>
    <row r="294" spans="1:8" ht="24">
      <c r="A294" s="312" t="s">
        <v>1969</v>
      </c>
      <c r="B294" s="312" t="s">
        <v>4100</v>
      </c>
      <c r="C294" s="313" t="s">
        <v>3588</v>
      </c>
      <c r="D294" s="764"/>
      <c r="E294" s="764" t="str">
        <f>+B293</f>
        <v>ABA522</v>
      </c>
      <c r="F294" s="327"/>
      <c r="G294" s="327"/>
    </row>
    <row r="295" spans="1:8">
      <c r="A295" s="760" t="s">
        <v>1965</v>
      </c>
      <c r="B295" s="310" t="s">
        <v>3116</v>
      </c>
      <c r="C295" s="310" t="s">
        <v>3117</v>
      </c>
      <c r="D295" s="321"/>
      <c r="E295" s="321"/>
      <c r="F295" s="326"/>
      <c r="G295" s="326"/>
    </row>
    <row r="296" spans="1:8">
      <c r="A296" s="312">
        <v>5</v>
      </c>
      <c r="B296" s="799" t="s">
        <v>4101</v>
      </c>
      <c r="C296" s="313" t="s">
        <v>3589</v>
      </c>
      <c r="D296" s="764"/>
      <c r="E296" s="764" t="str">
        <f>+B295</f>
        <v>ABA530</v>
      </c>
      <c r="F296" s="327"/>
      <c r="G296" s="327">
        <v>0</v>
      </c>
    </row>
    <row r="297" spans="1:8">
      <c r="A297" s="312">
        <v>5</v>
      </c>
      <c r="B297" s="312" t="s">
        <v>4102</v>
      </c>
      <c r="C297" s="313" t="s">
        <v>4103</v>
      </c>
      <c r="D297" s="764"/>
      <c r="E297" s="764" t="str">
        <f>+E296</f>
        <v>ABA530</v>
      </c>
      <c r="F297" s="327"/>
      <c r="G297" s="327">
        <v>8241</v>
      </c>
    </row>
    <row r="298" spans="1:8">
      <c r="A298" s="312">
        <v>5</v>
      </c>
      <c r="B298" s="312" t="s">
        <v>4104</v>
      </c>
      <c r="C298" s="313" t="s">
        <v>4105</v>
      </c>
      <c r="D298" s="764"/>
      <c r="E298" s="764" t="str">
        <f>+E297</f>
        <v>ABA530</v>
      </c>
      <c r="F298" s="327"/>
      <c r="G298" s="327"/>
    </row>
    <row r="299" spans="1:8">
      <c r="A299" s="312" t="s">
        <v>1967</v>
      </c>
      <c r="B299" s="312" t="s">
        <v>4106</v>
      </c>
      <c r="C299" s="313" t="s">
        <v>3590</v>
      </c>
      <c r="D299" s="764"/>
      <c r="E299" s="764" t="str">
        <f>+E298</f>
        <v>ABA530</v>
      </c>
      <c r="F299" s="327"/>
      <c r="G299" s="327"/>
      <c r="H299" t="s">
        <v>3906</v>
      </c>
    </row>
    <row r="300" spans="1:8">
      <c r="A300" s="760" t="s">
        <v>1965</v>
      </c>
      <c r="B300" s="310" t="s">
        <v>3118</v>
      </c>
      <c r="C300" s="310" t="s">
        <v>3119</v>
      </c>
      <c r="D300" s="321"/>
      <c r="E300" s="321"/>
      <c r="F300" s="326"/>
      <c r="G300" s="326"/>
    </row>
    <row r="301" spans="1:8">
      <c r="A301" s="760" t="s">
        <v>1967</v>
      </c>
      <c r="B301" s="310" t="s">
        <v>3120</v>
      </c>
      <c r="C301" s="310" t="s">
        <v>3121</v>
      </c>
      <c r="D301" s="321"/>
      <c r="E301" s="321"/>
      <c r="F301" s="326"/>
      <c r="G301" s="326"/>
    </row>
    <row r="302" spans="1:8" ht="25.5">
      <c r="A302" s="760" t="s">
        <v>1969</v>
      </c>
      <c r="B302" s="310" t="s">
        <v>3122</v>
      </c>
      <c r="C302" s="310" t="s">
        <v>3123</v>
      </c>
      <c r="D302" s="321" t="s">
        <v>1248</v>
      </c>
      <c r="E302" s="321"/>
      <c r="F302" s="326"/>
      <c r="G302" s="326"/>
    </row>
    <row r="303" spans="1:8" ht="24">
      <c r="A303" s="312">
        <v>7</v>
      </c>
      <c r="B303" s="312" t="s">
        <v>4107</v>
      </c>
      <c r="C303" s="313" t="s">
        <v>3591</v>
      </c>
      <c r="D303" s="764" t="s">
        <v>1248</v>
      </c>
      <c r="E303" s="764" t="str">
        <f>+B302</f>
        <v>ABA560</v>
      </c>
      <c r="F303" s="327"/>
      <c r="G303" s="327"/>
    </row>
    <row r="304" spans="1:8" ht="25.5">
      <c r="A304" s="760" t="s">
        <v>1969</v>
      </c>
      <c r="B304" s="310" t="s">
        <v>3124</v>
      </c>
      <c r="C304" s="310" t="s">
        <v>3125</v>
      </c>
      <c r="D304" s="321" t="s">
        <v>1248</v>
      </c>
      <c r="E304" s="321"/>
      <c r="F304" s="326"/>
      <c r="G304" s="326"/>
    </row>
    <row r="305" spans="1:8" ht="24">
      <c r="A305" s="312">
        <v>7</v>
      </c>
      <c r="B305" s="312" t="s">
        <v>4108</v>
      </c>
      <c r="C305" s="313" t="s">
        <v>3592</v>
      </c>
      <c r="D305" s="764" t="s">
        <v>1248</v>
      </c>
      <c r="E305" s="764" t="str">
        <f>+B304</f>
        <v>ABA570</v>
      </c>
      <c r="F305" s="327"/>
      <c r="G305" s="327"/>
    </row>
    <row r="306" spans="1:8" ht="24">
      <c r="A306" s="312">
        <v>7</v>
      </c>
      <c r="B306" s="312" t="s">
        <v>4109</v>
      </c>
      <c r="C306" s="313" t="s">
        <v>4110</v>
      </c>
      <c r="D306" s="764" t="s">
        <v>1248</v>
      </c>
      <c r="E306" s="764" t="str">
        <f>+E305</f>
        <v>ABA570</v>
      </c>
      <c r="F306" s="327"/>
      <c r="G306" s="327"/>
    </row>
    <row r="307" spans="1:8" ht="24">
      <c r="A307" s="312">
        <v>7</v>
      </c>
      <c r="B307" s="312" t="s">
        <v>4111</v>
      </c>
      <c r="C307" s="313" t="s">
        <v>4112</v>
      </c>
      <c r="D307" s="764" t="s">
        <v>1248</v>
      </c>
      <c r="E307" s="764" t="str">
        <f>+E306</f>
        <v>ABA570</v>
      </c>
      <c r="F307" s="327"/>
      <c r="G307" s="327"/>
    </row>
    <row r="308" spans="1:8" ht="25.5">
      <c r="A308" s="760" t="s">
        <v>1969</v>
      </c>
      <c r="B308" s="310" t="s">
        <v>3126</v>
      </c>
      <c r="C308" s="310" t="s">
        <v>3127</v>
      </c>
      <c r="D308" s="321" t="s">
        <v>1248</v>
      </c>
      <c r="E308" s="321"/>
      <c r="F308" s="326"/>
      <c r="G308" s="326"/>
    </row>
    <row r="309" spans="1:8">
      <c r="A309" s="312">
        <v>7</v>
      </c>
      <c r="B309" s="312" t="s">
        <v>4113</v>
      </c>
      <c r="C309" s="313" t="s">
        <v>3593</v>
      </c>
      <c r="D309" s="764" t="s">
        <v>1248</v>
      </c>
      <c r="E309" s="764" t="str">
        <f>+B308</f>
        <v>ABA580</v>
      </c>
      <c r="F309" s="327">
        <v>102221478.54000001</v>
      </c>
      <c r="G309" s="327">
        <v>144720103.19999999</v>
      </c>
    </row>
    <row r="310" spans="1:8" ht="24">
      <c r="A310" s="312">
        <v>7</v>
      </c>
      <c r="B310" s="312" t="s">
        <v>4114</v>
      </c>
      <c r="C310" s="313" t="s">
        <v>4115</v>
      </c>
      <c r="D310" s="764" t="s">
        <v>1248</v>
      </c>
      <c r="E310" s="764" t="str">
        <f>+E309</f>
        <v>ABA580</v>
      </c>
      <c r="F310" s="327">
        <v>799908.6</v>
      </c>
      <c r="G310" s="327">
        <v>2093054.6</v>
      </c>
    </row>
    <row r="311" spans="1:8" ht="24">
      <c r="A311" s="312">
        <v>7</v>
      </c>
      <c r="B311" s="312" t="s">
        <v>4116</v>
      </c>
      <c r="C311" s="313" t="s">
        <v>4117</v>
      </c>
      <c r="D311" s="764" t="s">
        <v>1248</v>
      </c>
      <c r="E311" s="764" t="str">
        <f>+E310</f>
        <v>ABA580</v>
      </c>
      <c r="F311" s="327">
        <v>-6667914.3799999999</v>
      </c>
      <c r="G311" s="327">
        <v>-2769123.22</v>
      </c>
    </row>
    <row r="312" spans="1:8">
      <c r="A312" s="760" t="s">
        <v>1967</v>
      </c>
      <c r="B312" s="310" t="s">
        <v>3128</v>
      </c>
      <c r="C312" s="310" t="s">
        <v>3129</v>
      </c>
      <c r="D312" s="321"/>
      <c r="E312" s="321"/>
      <c r="F312" s="326"/>
      <c r="G312" s="326"/>
    </row>
    <row r="313" spans="1:8">
      <c r="A313" s="312">
        <v>6</v>
      </c>
      <c r="B313" s="312" t="s">
        <v>4118</v>
      </c>
      <c r="C313" s="313" t="s">
        <v>3594</v>
      </c>
      <c r="D313" s="764"/>
      <c r="E313" s="764" t="str">
        <f>+B312</f>
        <v>ABA590</v>
      </c>
      <c r="F313" s="327"/>
      <c r="G313" s="327"/>
    </row>
    <row r="314" spans="1:8" ht="38.25">
      <c r="A314" s="760" t="s">
        <v>1967</v>
      </c>
      <c r="B314" s="310" t="s">
        <v>3130</v>
      </c>
      <c r="C314" s="310" t="s">
        <v>4119</v>
      </c>
      <c r="D314" s="321"/>
      <c r="E314" s="321"/>
      <c r="F314" s="326"/>
      <c r="G314" s="326"/>
    </row>
    <row r="315" spans="1:8" ht="36">
      <c r="A315" s="312" t="s">
        <v>1969</v>
      </c>
      <c r="B315" s="312" t="s">
        <v>4120</v>
      </c>
      <c r="C315" s="313" t="s">
        <v>4121</v>
      </c>
      <c r="D315" s="764" t="s">
        <v>4122</v>
      </c>
      <c r="E315" s="764"/>
      <c r="F315" s="327"/>
      <c r="G315" s="327"/>
    </row>
    <row r="316" spans="1:8">
      <c r="A316" s="760" t="s">
        <v>1967</v>
      </c>
      <c r="B316" s="310" t="s">
        <v>3132</v>
      </c>
      <c r="C316" s="310" t="s">
        <v>3133</v>
      </c>
      <c r="D316" s="321"/>
      <c r="E316" s="321"/>
      <c r="F316" s="326"/>
      <c r="G316" s="326"/>
    </row>
    <row r="317" spans="1:8">
      <c r="A317" s="312">
        <v>6</v>
      </c>
      <c r="B317" s="312" t="s">
        <v>4123</v>
      </c>
      <c r="C317" s="313" t="s">
        <v>3595</v>
      </c>
      <c r="D317" s="764"/>
      <c r="E317" s="764" t="str">
        <f>+B316</f>
        <v>ABA600</v>
      </c>
      <c r="F317" s="327">
        <v>53548.62</v>
      </c>
      <c r="G317" s="327">
        <v>56447.87</v>
      </c>
    </row>
    <row r="318" spans="1:8" ht="24">
      <c r="A318" s="312">
        <v>6</v>
      </c>
      <c r="B318" s="312" t="s">
        <v>4124</v>
      </c>
      <c r="C318" s="313" t="s">
        <v>4125</v>
      </c>
      <c r="D318" s="764"/>
      <c r="E318" s="764" t="str">
        <f>+E317</f>
        <v>ABA600</v>
      </c>
      <c r="F318" s="327"/>
      <c r="G318" s="327"/>
    </row>
    <row r="319" spans="1:8">
      <c r="A319" s="312">
        <v>6</v>
      </c>
      <c r="B319" s="312" t="s">
        <v>4126</v>
      </c>
      <c r="C319" s="313" t="s">
        <v>4127</v>
      </c>
      <c r="D319" s="764"/>
      <c r="E319" s="764" t="str">
        <f>+E318</f>
        <v>ABA600</v>
      </c>
      <c r="F319" s="327">
        <v>153.74</v>
      </c>
      <c r="G319" s="327">
        <v>153.74</v>
      </c>
    </row>
    <row r="320" spans="1:8">
      <c r="A320" s="312" t="s">
        <v>1969</v>
      </c>
      <c r="B320" s="312" t="s">
        <v>4128</v>
      </c>
      <c r="C320" s="313" t="s">
        <v>3596</v>
      </c>
      <c r="D320" s="764"/>
      <c r="E320" s="764" t="str">
        <f>+E319</f>
        <v>ABA600</v>
      </c>
      <c r="F320" s="327"/>
      <c r="G320" s="327"/>
      <c r="H320" t="s">
        <v>3906</v>
      </c>
    </row>
    <row r="321" spans="1:8" ht="38.25">
      <c r="A321" s="760" t="s">
        <v>1967</v>
      </c>
      <c r="B321" s="310" t="s">
        <v>3134</v>
      </c>
      <c r="C321" s="310" t="s">
        <v>4129</v>
      </c>
      <c r="D321" s="321" t="s">
        <v>1248</v>
      </c>
      <c r="E321" s="321"/>
      <c r="F321" s="326"/>
      <c r="G321" s="326"/>
    </row>
    <row r="322" spans="1:8" ht="24">
      <c r="A322" s="312" t="s">
        <v>1969</v>
      </c>
      <c r="B322" s="312" t="s">
        <v>4130</v>
      </c>
      <c r="C322" s="313" t="s">
        <v>4131</v>
      </c>
      <c r="D322" s="764" t="s">
        <v>1248</v>
      </c>
      <c r="E322" s="764" t="str">
        <f>+B321</f>
        <v>ABA601</v>
      </c>
      <c r="F322" s="327"/>
      <c r="G322" s="327"/>
    </row>
    <row r="323" spans="1:8">
      <c r="A323" s="760" t="s">
        <v>1965</v>
      </c>
      <c r="B323" s="310" t="s">
        <v>3136</v>
      </c>
      <c r="C323" s="310" t="s">
        <v>3137</v>
      </c>
      <c r="D323" s="321"/>
      <c r="E323" s="321"/>
      <c r="F323" s="326"/>
      <c r="G323" s="326"/>
    </row>
    <row r="324" spans="1:8">
      <c r="A324" s="760" t="s">
        <v>1967</v>
      </c>
      <c r="B324" s="310" t="s">
        <v>3138</v>
      </c>
      <c r="C324" s="310" t="s">
        <v>3139</v>
      </c>
      <c r="D324" s="321"/>
      <c r="E324" s="321"/>
      <c r="F324" s="326"/>
      <c r="G324" s="326"/>
    </row>
    <row r="325" spans="1:8">
      <c r="A325" s="312">
        <v>6</v>
      </c>
      <c r="B325" s="312" t="s">
        <v>4132</v>
      </c>
      <c r="C325" s="313" t="s">
        <v>3597</v>
      </c>
      <c r="D325" s="764"/>
      <c r="E325" s="764" t="str">
        <f>+B324</f>
        <v>ABA620</v>
      </c>
      <c r="F325" s="327"/>
      <c r="G325" s="327"/>
    </row>
    <row r="326" spans="1:8">
      <c r="A326" s="312" t="s">
        <v>1969</v>
      </c>
      <c r="B326" s="312" t="s">
        <v>4133</v>
      </c>
      <c r="C326" s="313" t="s">
        <v>3598</v>
      </c>
      <c r="D326" s="764"/>
      <c r="E326" s="764" t="str">
        <f>+E325</f>
        <v>ABA620</v>
      </c>
      <c r="F326" s="327"/>
      <c r="G326" s="327"/>
      <c r="H326" t="s">
        <v>3906</v>
      </c>
    </row>
    <row r="327" spans="1:8">
      <c r="A327" s="760" t="s">
        <v>1967</v>
      </c>
      <c r="B327" s="310" t="s">
        <v>3140</v>
      </c>
      <c r="C327" s="310" t="s">
        <v>3141</v>
      </c>
      <c r="D327" s="321"/>
      <c r="E327" s="321"/>
      <c r="F327" s="326"/>
      <c r="G327" s="326"/>
    </row>
    <row r="328" spans="1:8">
      <c r="A328" s="312">
        <v>6</v>
      </c>
      <c r="B328" s="312" t="s">
        <v>4134</v>
      </c>
      <c r="C328" s="313" t="s">
        <v>3599</v>
      </c>
      <c r="D328" s="764"/>
      <c r="E328" s="764" t="str">
        <f>+B327</f>
        <v>ABA630</v>
      </c>
      <c r="F328" s="327"/>
      <c r="G328" s="327"/>
    </row>
    <row r="329" spans="1:8">
      <c r="A329" s="312" t="s">
        <v>1969</v>
      </c>
      <c r="B329" s="312" t="s">
        <v>4135</v>
      </c>
      <c r="C329" s="313" t="s">
        <v>3600</v>
      </c>
      <c r="D329" s="764"/>
      <c r="E329" s="764" t="str">
        <f>+E328</f>
        <v>ABA630</v>
      </c>
      <c r="F329" s="327"/>
      <c r="G329" s="327"/>
      <c r="H329" t="s">
        <v>3906</v>
      </c>
    </row>
    <row r="330" spans="1:8">
      <c r="A330" s="760" t="s">
        <v>1967</v>
      </c>
      <c r="B330" s="310" t="s">
        <v>3142</v>
      </c>
      <c r="C330" s="310" t="s">
        <v>3143</v>
      </c>
      <c r="D330" s="321"/>
      <c r="E330" s="321"/>
      <c r="F330" s="326"/>
      <c r="G330" s="326"/>
    </row>
    <row r="331" spans="1:8">
      <c r="A331" s="312">
        <v>6</v>
      </c>
      <c r="B331" s="312" t="s">
        <v>4136</v>
      </c>
      <c r="C331" s="313" t="s">
        <v>3601</v>
      </c>
      <c r="D331" s="764"/>
      <c r="E331" s="764" t="str">
        <f>+B330</f>
        <v>ABA640</v>
      </c>
      <c r="F331" s="327"/>
      <c r="G331" s="327"/>
    </row>
    <row r="332" spans="1:8">
      <c r="A332" s="312">
        <v>6</v>
      </c>
      <c r="B332" s="312" t="s">
        <v>4137</v>
      </c>
      <c r="C332" s="313" t="s">
        <v>4138</v>
      </c>
      <c r="D332" s="764"/>
      <c r="E332" s="764" t="str">
        <f>+E331</f>
        <v>ABA640</v>
      </c>
      <c r="F332" s="327"/>
      <c r="G332" s="327"/>
    </row>
    <row r="333" spans="1:8">
      <c r="A333" s="312">
        <v>6</v>
      </c>
      <c r="B333" s="312" t="s">
        <v>4139</v>
      </c>
      <c r="C333" s="313" t="s">
        <v>4140</v>
      </c>
      <c r="D333" s="764"/>
      <c r="E333" s="764" t="str">
        <f>+E332</f>
        <v>ABA640</v>
      </c>
      <c r="F333" s="327"/>
      <c r="G333" s="327"/>
    </row>
    <row r="334" spans="1:8">
      <c r="A334" s="312" t="s">
        <v>1969</v>
      </c>
      <c r="B334" s="312" t="s">
        <v>4141</v>
      </c>
      <c r="C334" s="313" t="s">
        <v>3602</v>
      </c>
      <c r="D334" s="764"/>
      <c r="E334" s="764" t="str">
        <f>+E333</f>
        <v>ABA640</v>
      </c>
      <c r="F334" s="327"/>
      <c r="G334" s="327"/>
      <c r="H334" t="s">
        <v>3906</v>
      </c>
    </row>
    <row r="335" spans="1:8">
      <c r="A335" s="760" t="s">
        <v>1965</v>
      </c>
      <c r="B335" s="310" t="s">
        <v>3144</v>
      </c>
      <c r="C335" s="310" t="s">
        <v>3145</v>
      </c>
      <c r="D335" s="321"/>
      <c r="E335" s="321"/>
      <c r="F335" s="326"/>
      <c r="G335" s="326"/>
    </row>
    <row r="336" spans="1:8">
      <c r="A336" s="312">
        <v>5</v>
      </c>
      <c r="B336" s="312" t="s">
        <v>4142</v>
      </c>
      <c r="C336" s="313" t="s">
        <v>4143</v>
      </c>
      <c r="D336" s="764"/>
      <c r="E336" s="764" t="str">
        <f>+B335</f>
        <v>ABA650</v>
      </c>
      <c r="F336" s="327"/>
      <c r="G336" s="327"/>
    </row>
    <row r="337" spans="1:10">
      <c r="A337" s="312">
        <v>5</v>
      </c>
      <c r="B337" s="312" t="s">
        <v>4144</v>
      </c>
      <c r="C337" s="313" t="s">
        <v>4145</v>
      </c>
      <c r="D337" s="764"/>
      <c r="E337" s="764" t="str">
        <f>+E336</f>
        <v>ABA650</v>
      </c>
      <c r="F337" s="327"/>
      <c r="G337" s="327"/>
    </row>
    <row r="338" spans="1:10">
      <c r="A338" s="312">
        <v>5</v>
      </c>
      <c r="B338" s="312" t="s">
        <v>4146</v>
      </c>
      <c r="C338" s="313" t="s">
        <v>3603</v>
      </c>
      <c r="D338" s="764"/>
      <c r="E338" s="764" t="str">
        <f>+E337</f>
        <v>ABA650</v>
      </c>
      <c r="F338" s="327">
        <v>44402.23</v>
      </c>
      <c r="G338" s="327">
        <v>35474.69</v>
      </c>
    </row>
    <row r="339" spans="1:10">
      <c r="A339" s="312">
        <v>5</v>
      </c>
      <c r="B339" s="312" t="s">
        <v>4147</v>
      </c>
      <c r="C339" s="313" t="s">
        <v>4148</v>
      </c>
      <c r="D339" s="764"/>
      <c r="E339" s="764" t="str">
        <f>+E338</f>
        <v>ABA650</v>
      </c>
      <c r="F339" s="327"/>
      <c r="G339" s="327">
        <v>0</v>
      </c>
    </row>
    <row r="340" spans="1:10">
      <c r="A340" s="312">
        <v>5</v>
      </c>
      <c r="B340" s="312" t="s">
        <v>4149</v>
      </c>
      <c r="C340" s="313" t="s">
        <v>3604</v>
      </c>
      <c r="D340" s="764"/>
      <c r="E340" s="764" t="str">
        <f>+E339</f>
        <v>ABA650</v>
      </c>
      <c r="F340" s="327"/>
      <c r="G340" s="327"/>
    </row>
    <row r="341" spans="1:10">
      <c r="A341" s="312">
        <v>5</v>
      </c>
      <c r="B341" s="312" t="s">
        <v>4150</v>
      </c>
      <c r="C341" s="313" t="s">
        <v>3605</v>
      </c>
      <c r="D341" s="764"/>
      <c r="E341" s="764" t="str">
        <f t="shared" ref="E341:E343" si="0">+E340</f>
        <v>ABA650</v>
      </c>
      <c r="F341" s="327"/>
      <c r="G341" s="327">
        <v>0</v>
      </c>
    </row>
    <row r="342" spans="1:10">
      <c r="A342" s="312">
        <v>5</v>
      </c>
      <c r="B342" s="312" t="s">
        <v>4151</v>
      </c>
      <c r="C342" s="313" t="s">
        <v>3606</v>
      </c>
      <c r="D342" s="764"/>
      <c r="E342" s="764" t="str">
        <f t="shared" si="0"/>
        <v>ABA650</v>
      </c>
      <c r="F342" s="327">
        <v>3052</v>
      </c>
      <c r="G342" s="327">
        <v>402</v>
      </c>
    </row>
    <row r="343" spans="1:10">
      <c r="A343" s="312" t="s">
        <v>1967</v>
      </c>
      <c r="B343" s="312" t="s">
        <v>4152</v>
      </c>
      <c r="C343" s="313" t="s">
        <v>3607</v>
      </c>
      <c r="D343" s="764"/>
      <c r="E343" s="764" t="str">
        <f t="shared" si="0"/>
        <v>ABA650</v>
      </c>
      <c r="F343" s="327"/>
      <c r="G343" s="327"/>
      <c r="H343" t="s">
        <v>3906</v>
      </c>
    </row>
    <row r="344" spans="1:10">
      <c r="A344" s="760" t="s">
        <v>1965</v>
      </c>
      <c r="B344" s="310" t="s">
        <v>3146</v>
      </c>
      <c r="C344" s="310" t="s">
        <v>3147</v>
      </c>
      <c r="D344" s="321"/>
      <c r="E344" s="321"/>
      <c r="F344" s="326"/>
      <c r="G344" s="326"/>
    </row>
    <row r="345" spans="1:10">
      <c r="A345" s="760" t="s">
        <v>1967</v>
      </c>
      <c r="B345" s="310" t="s">
        <v>3148</v>
      </c>
      <c r="C345" s="310" t="s">
        <v>3149</v>
      </c>
      <c r="D345" s="321"/>
      <c r="E345" s="321"/>
      <c r="F345" s="326"/>
      <c r="G345" s="326"/>
    </row>
    <row r="346" spans="1:10">
      <c r="A346" s="312">
        <v>6</v>
      </c>
      <c r="B346" s="312" t="s">
        <v>4153</v>
      </c>
      <c r="C346" s="313" t="s">
        <v>3608</v>
      </c>
      <c r="D346" s="764"/>
      <c r="E346" s="764" t="str">
        <f>+B345</f>
        <v>ABA670</v>
      </c>
      <c r="F346" s="327">
        <v>30264.67</v>
      </c>
      <c r="G346" s="327">
        <v>284524.82</v>
      </c>
    </row>
    <row r="347" spans="1:10">
      <c r="A347" s="312">
        <v>6</v>
      </c>
      <c r="B347" s="312" t="s">
        <v>4154</v>
      </c>
      <c r="C347" s="313" t="s">
        <v>3609</v>
      </c>
      <c r="D347" s="764"/>
      <c r="E347" s="764" t="str">
        <f>+E346</f>
        <v>ABA670</v>
      </c>
      <c r="F347" s="327"/>
      <c r="G347" s="327">
        <v>0</v>
      </c>
    </row>
    <row r="348" spans="1:10">
      <c r="A348" s="312">
        <v>6</v>
      </c>
      <c r="B348" s="312" t="s">
        <v>4155</v>
      </c>
      <c r="C348" s="313" t="s">
        <v>3610</v>
      </c>
      <c r="D348" s="764"/>
      <c r="E348" s="764" t="str">
        <f>+E347</f>
        <v>ABA670</v>
      </c>
      <c r="F348" s="327">
        <v>200</v>
      </c>
      <c r="G348" s="327">
        <v>87008.45</v>
      </c>
    </row>
    <row r="349" spans="1:10">
      <c r="A349" s="312">
        <v>6</v>
      </c>
      <c r="B349" s="312" t="s">
        <v>4156</v>
      </c>
      <c r="C349" s="313" t="s">
        <v>4157</v>
      </c>
      <c r="D349" s="764"/>
      <c r="E349" s="764" t="str">
        <f>+E348</f>
        <v>ABA670</v>
      </c>
      <c r="F349" s="327">
        <v>6606.58</v>
      </c>
      <c r="G349" s="327">
        <v>11419.61</v>
      </c>
    </row>
    <row r="350" spans="1:10">
      <c r="A350" s="312">
        <v>6</v>
      </c>
      <c r="B350" s="312" t="s">
        <v>4158</v>
      </c>
      <c r="C350" s="313" t="s">
        <v>4159</v>
      </c>
      <c r="D350" s="764"/>
      <c r="E350" s="764" t="str">
        <f>+E349</f>
        <v>ABA670</v>
      </c>
      <c r="F350" s="327">
        <v>-3602</v>
      </c>
      <c r="G350" s="327">
        <v>-148075.75</v>
      </c>
    </row>
    <row r="351" spans="1:10">
      <c r="A351" s="312" t="s">
        <v>1969</v>
      </c>
      <c r="B351" s="312" t="s">
        <v>4160</v>
      </c>
      <c r="C351" s="313" t="s">
        <v>3611</v>
      </c>
      <c r="D351" s="764"/>
      <c r="E351" s="764" t="str">
        <f t="shared" ref="E351" si="1">+E350</f>
        <v>ABA670</v>
      </c>
      <c r="F351" s="327">
        <v>-27033.75</v>
      </c>
      <c r="G351" s="327">
        <v>-41536.75</v>
      </c>
      <c r="H351" t="s">
        <v>3906</v>
      </c>
      <c r="J351" s="800"/>
    </row>
    <row r="352" spans="1:10">
      <c r="A352" s="760" t="s">
        <v>1967</v>
      </c>
      <c r="B352" s="310" t="s">
        <v>3150</v>
      </c>
      <c r="C352" s="310" t="s">
        <v>3151</v>
      </c>
      <c r="D352" s="321"/>
      <c r="E352" s="321"/>
      <c r="F352" s="326"/>
      <c r="G352" s="326"/>
    </row>
    <row r="353" spans="1:10">
      <c r="A353" s="312">
        <v>6</v>
      </c>
      <c r="B353" s="312" t="s">
        <v>4161</v>
      </c>
      <c r="C353" s="313" t="s">
        <v>3612</v>
      </c>
      <c r="D353" s="764"/>
      <c r="E353" s="764" t="str">
        <f>+B352</f>
        <v>ABA680</v>
      </c>
      <c r="F353" s="327"/>
      <c r="G353" s="327"/>
    </row>
    <row r="354" spans="1:10">
      <c r="A354" s="312" t="s">
        <v>1969</v>
      </c>
      <c r="B354" s="312" t="s">
        <v>4162</v>
      </c>
      <c r="C354" s="313" t="s">
        <v>3613</v>
      </c>
      <c r="D354" s="764"/>
      <c r="E354" s="764" t="str">
        <f>+E353</f>
        <v>ABA680</v>
      </c>
      <c r="F354" s="327"/>
      <c r="G354" s="327"/>
      <c r="H354" t="s">
        <v>3906</v>
      </c>
    </row>
    <row r="355" spans="1:10">
      <c r="A355" s="760" t="s">
        <v>1967</v>
      </c>
      <c r="B355" s="310" t="s">
        <v>3152</v>
      </c>
      <c r="C355" s="310" t="s">
        <v>3153</v>
      </c>
      <c r="D355" s="321"/>
      <c r="E355" s="321"/>
      <c r="F355" s="326"/>
      <c r="G355" s="326"/>
    </row>
    <row r="356" spans="1:10">
      <c r="A356" s="312">
        <v>6</v>
      </c>
      <c r="B356" s="312" t="s">
        <v>4163</v>
      </c>
      <c r="C356" s="313" t="s">
        <v>3614</v>
      </c>
      <c r="D356" s="764"/>
      <c r="E356" s="764" t="str">
        <f>+B355</f>
        <v>ABA690</v>
      </c>
      <c r="F356" s="327"/>
      <c r="G356" s="327"/>
    </row>
    <row r="357" spans="1:10">
      <c r="A357" s="312">
        <v>6</v>
      </c>
      <c r="B357" s="312" t="s">
        <v>4164</v>
      </c>
      <c r="C357" s="313" t="s">
        <v>3615</v>
      </c>
      <c r="D357" s="764"/>
      <c r="E357" s="764" t="str">
        <f>+E356</f>
        <v>ABA690</v>
      </c>
      <c r="F357" s="327">
        <v>382724.02</v>
      </c>
      <c r="G357" s="327">
        <v>264431.73</v>
      </c>
    </row>
    <row r="358" spans="1:10">
      <c r="A358" s="312">
        <v>6</v>
      </c>
      <c r="B358" s="312" t="s">
        <v>4165</v>
      </c>
      <c r="C358" s="313" t="s">
        <v>4166</v>
      </c>
      <c r="D358" s="764"/>
      <c r="E358" s="764" t="str">
        <f>+E357</f>
        <v>ABA690</v>
      </c>
      <c r="F358" s="327"/>
      <c r="G358" s="327"/>
    </row>
    <row r="359" spans="1:10">
      <c r="A359" s="312">
        <v>6</v>
      </c>
      <c r="B359" s="312" t="s">
        <v>4167</v>
      </c>
      <c r="C359" s="313" t="s">
        <v>4168</v>
      </c>
      <c r="D359" s="764"/>
      <c r="E359" s="764" t="str">
        <f>+E358</f>
        <v>ABA690</v>
      </c>
      <c r="F359" s="327"/>
      <c r="G359" s="327"/>
    </row>
    <row r="360" spans="1:10">
      <c r="A360" s="312" t="s">
        <v>1969</v>
      </c>
      <c r="B360" s="312" t="s">
        <v>4169</v>
      </c>
      <c r="C360" s="313" t="s">
        <v>3616</v>
      </c>
      <c r="D360" s="764"/>
      <c r="E360" s="764" t="str">
        <f>+E359</f>
        <v>ABA690</v>
      </c>
      <c r="F360" s="327"/>
      <c r="G360" s="327"/>
      <c r="H360" t="s">
        <v>3906</v>
      </c>
    </row>
    <row r="361" spans="1:10">
      <c r="A361" s="760" t="s">
        <v>1967</v>
      </c>
      <c r="B361" s="310" t="s">
        <v>3154</v>
      </c>
      <c r="C361" s="310" t="s">
        <v>3155</v>
      </c>
      <c r="D361" s="321"/>
      <c r="E361" s="321"/>
      <c r="F361" s="326"/>
      <c r="G361" s="326"/>
    </row>
    <row r="362" spans="1:10">
      <c r="A362" s="312">
        <v>6</v>
      </c>
      <c r="B362" s="312" t="s">
        <v>4170</v>
      </c>
      <c r="C362" s="313" t="s">
        <v>3617</v>
      </c>
      <c r="D362" s="764"/>
      <c r="E362" s="764" t="str">
        <f>+B361</f>
        <v>ABA700</v>
      </c>
      <c r="F362" s="327"/>
      <c r="G362" s="327"/>
    </row>
    <row r="363" spans="1:10">
      <c r="A363" s="312" t="s">
        <v>1969</v>
      </c>
      <c r="B363" s="312" t="s">
        <v>4171</v>
      </c>
      <c r="C363" s="313" t="s">
        <v>3618</v>
      </c>
      <c r="D363" s="764"/>
      <c r="E363" s="764" t="str">
        <f>+E362</f>
        <v>ABA700</v>
      </c>
      <c r="F363" s="327"/>
      <c r="G363" s="327"/>
      <c r="H363" t="s">
        <v>3906</v>
      </c>
    </row>
    <row r="364" spans="1:10">
      <c r="A364" s="760" t="s">
        <v>1967</v>
      </c>
      <c r="B364" s="310" t="s">
        <v>3156</v>
      </c>
      <c r="C364" s="310" t="s">
        <v>3157</v>
      </c>
      <c r="D364" s="321"/>
      <c r="E364" s="321"/>
      <c r="F364" s="326"/>
      <c r="G364" s="326"/>
    </row>
    <row r="365" spans="1:10">
      <c r="A365" s="760" t="s">
        <v>1969</v>
      </c>
      <c r="B365" s="310" t="s">
        <v>3158</v>
      </c>
      <c r="C365" s="310" t="s">
        <v>4172</v>
      </c>
      <c r="D365" s="321"/>
      <c r="E365" s="321"/>
      <c r="F365" s="326"/>
      <c r="G365" s="326"/>
    </row>
    <row r="366" spans="1:10">
      <c r="A366" s="312">
        <v>7</v>
      </c>
      <c r="B366" s="312" t="s">
        <v>4173</v>
      </c>
      <c r="C366" s="313" t="s">
        <v>3619</v>
      </c>
      <c r="D366" s="764"/>
      <c r="E366" s="764" t="str">
        <f>+B365</f>
        <v>ABA711</v>
      </c>
      <c r="F366" s="327">
        <v>260</v>
      </c>
      <c r="G366" s="327">
        <v>1635</v>
      </c>
      <c r="J366" s="800"/>
    </row>
    <row r="367" spans="1:10">
      <c r="A367" s="312">
        <v>7</v>
      </c>
      <c r="B367" s="312" t="s">
        <v>4174</v>
      </c>
      <c r="C367" s="313" t="s">
        <v>3620</v>
      </c>
      <c r="D367" s="764"/>
      <c r="E367" s="764" t="str">
        <f>+E366</f>
        <v>ABA711</v>
      </c>
      <c r="F367" s="327"/>
      <c r="G367" s="327">
        <v>0</v>
      </c>
    </row>
    <row r="368" spans="1:10">
      <c r="A368" s="312">
        <v>7</v>
      </c>
      <c r="B368" s="312" t="s">
        <v>4175</v>
      </c>
      <c r="C368" s="313" t="s">
        <v>3621</v>
      </c>
      <c r="D368" s="764"/>
      <c r="E368" s="764" t="str">
        <f>+E367</f>
        <v>ABA711</v>
      </c>
      <c r="F368" s="327"/>
      <c r="G368" s="327"/>
    </row>
    <row r="369" spans="1:8">
      <c r="A369" s="312">
        <v>7</v>
      </c>
      <c r="B369" s="312" t="s">
        <v>4176</v>
      </c>
      <c r="C369" s="313" t="s">
        <v>3622</v>
      </c>
      <c r="D369" s="764"/>
      <c r="E369" s="764" t="str">
        <f>+E368</f>
        <v>ABA711</v>
      </c>
      <c r="F369" s="327">
        <v>96391.44</v>
      </c>
      <c r="G369" s="327">
        <v>70915.16</v>
      </c>
    </row>
    <row r="370" spans="1:8">
      <c r="A370" s="312">
        <v>7</v>
      </c>
      <c r="B370" s="312" t="s">
        <v>4177</v>
      </c>
      <c r="C370" s="313" t="s">
        <v>4178</v>
      </c>
      <c r="D370" s="764"/>
      <c r="E370" s="764" t="str">
        <f>+E369</f>
        <v>ABA711</v>
      </c>
      <c r="F370" s="327"/>
      <c r="G370" s="327"/>
    </row>
    <row r="371" spans="1:8">
      <c r="A371" s="312">
        <v>7</v>
      </c>
      <c r="B371" s="312" t="s">
        <v>4179</v>
      </c>
      <c r="C371" s="313" t="s">
        <v>3623</v>
      </c>
      <c r="D371" s="764"/>
      <c r="E371" s="764" t="str">
        <f t="shared" ref="E371" si="2">+E370</f>
        <v>ABA711</v>
      </c>
      <c r="F371" s="327">
        <v>22558.92</v>
      </c>
      <c r="G371" s="327">
        <v>36142.42</v>
      </c>
    </row>
    <row r="372" spans="1:8">
      <c r="A372" s="312">
        <v>7</v>
      </c>
      <c r="B372" s="312" t="s">
        <v>4180</v>
      </c>
      <c r="C372" s="313" t="s">
        <v>3624</v>
      </c>
      <c r="D372" s="764"/>
      <c r="E372" s="764" t="str">
        <f>+E371</f>
        <v>ABA711</v>
      </c>
      <c r="F372" s="327"/>
      <c r="G372" s="327"/>
      <c r="H372" t="s">
        <v>3906</v>
      </c>
    </row>
    <row r="373" spans="1:8" ht="24">
      <c r="A373" s="312" t="s">
        <v>1970</v>
      </c>
      <c r="B373" s="769" t="s">
        <v>4181</v>
      </c>
      <c r="C373" s="313" t="s">
        <v>3625</v>
      </c>
      <c r="D373" s="764"/>
      <c r="E373" s="764" t="str">
        <f>+E372</f>
        <v>ABA711</v>
      </c>
      <c r="F373" s="327"/>
      <c r="G373" s="327"/>
      <c r="H373" t="s">
        <v>3906</v>
      </c>
    </row>
    <row r="374" spans="1:8">
      <c r="A374" s="760" t="s">
        <v>1969</v>
      </c>
      <c r="B374" s="310" t="s">
        <v>3160</v>
      </c>
      <c r="C374" s="310" t="s">
        <v>3161</v>
      </c>
      <c r="D374" s="321"/>
      <c r="E374" s="321"/>
      <c r="F374" s="326"/>
      <c r="G374" s="326"/>
    </row>
    <row r="375" spans="1:8">
      <c r="A375" s="312" t="s">
        <v>1970</v>
      </c>
      <c r="B375" s="312" t="s">
        <v>4182</v>
      </c>
      <c r="C375" s="313" t="s">
        <v>3626</v>
      </c>
      <c r="D375" s="764"/>
      <c r="E375" s="764" t="str">
        <f>+B374</f>
        <v>ABA712</v>
      </c>
      <c r="F375" s="327"/>
      <c r="G375" s="327"/>
    </row>
    <row r="376" spans="1:8" ht="25.5">
      <c r="A376" s="760" t="s">
        <v>1967</v>
      </c>
      <c r="B376" s="310" t="s">
        <v>3162</v>
      </c>
      <c r="C376" s="310" t="s">
        <v>3163</v>
      </c>
      <c r="D376" s="321"/>
      <c r="E376" s="321"/>
      <c r="F376" s="326"/>
      <c r="G376" s="326"/>
    </row>
    <row r="377" spans="1:8" ht="25.5">
      <c r="A377" s="760" t="s">
        <v>1969</v>
      </c>
      <c r="B377" s="310" t="s">
        <v>3164</v>
      </c>
      <c r="C377" s="310" t="s">
        <v>3165</v>
      </c>
      <c r="D377" s="321"/>
      <c r="E377" s="321"/>
      <c r="F377" s="326"/>
      <c r="G377" s="326"/>
    </row>
    <row r="378" spans="1:8" ht="24">
      <c r="A378" s="312" t="s">
        <v>1970</v>
      </c>
      <c r="B378" s="312" t="s">
        <v>4183</v>
      </c>
      <c r="C378" s="313" t="s">
        <v>3627</v>
      </c>
      <c r="D378" s="764"/>
      <c r="E378" s="764" t="str">
        <f>+B377</f>
        <v>ABA714</v>
      </c>
      <c r="F378" s="327"/>
      <c r="G378" s="327"/>
    </row>
    <row r="379" spans="1:8">
      <c r="A379" s="760" t="s">
        <v>1969</v>
      </c>
      <c r="B379" s="310" t="s">
        <v>3166</v>
      </c>
      <c r="C379" s="310" t="s">
        <v>4184</v>
      </c>
      <c r="D379" s="321"/>
      <c r="E379" s="321"/>
      <c r="F379" s="326"/>
      <c r="G379" s="326"/>
    </row>
    <row r="380" spans="1:8">
      <c r="A380" s="312" t="s">
        <v>1970</v>
      </c>
      <c r="B380" s="312" t="s">
        <v>4185</v>
      </c>
      <c r="C380" s="313" t="s">
        <v>3628</v>
      </c>
      <c r="D380" s="764"/>
      <c r="E380" s="764" t="str">
        <f>+B379</f>
        <v>ABA715</v>
      </c>
      <c r="F380" s="327"/>
      <c r="G380" s="327"/>
    </row>
    <row r="381" spans="1:8" ht="25.5">
      <c r="A381" s="760" t="s">
        <v>1963</v>
      </c>
      <c r="B381" s="310" t="s">
        <v>3168</v>
      </c>
      <c r="C381" s="310" t="s">
        <v>3169</v>
      </c>
      <c r="D381" s="321"/>
      <c r="E381" s="321"/>
      <c r="F381" s="326"/>
      <c r="G381" s="326"/>
    </row>
    <row r="382" spans="1:8">
      <c r="A382" s="760" t="s">
        <v>1965</v>
      </c>
      <c r="B382" s="310" t="s">
        <v>3170</v>
      </c>
      <c r="C382" s="310" t="s">
        <v>3171</v>
      </c>
      <c r="D382" s="321"/>
      <c r="E382" s="321"/>
      <c r="F382" s="326"/>
      <c r="G382" s="326"/>
    </row>
    <row r="383" spans="1:8">
      <c r="A383" s="312">
        <v>5</v>
      </c>
      <c r="B383" s="312" t="s">
        <v>4186</v>
      </c>
      <c r="C383" s="313" t="s">
        <v>3629</v>
      </c>
      <c r="D383" s="764"/>
      <c r="E383" s="764" t="str">
        <f>+B382</f>
        <v>ABA730</v>
      </c>
      <c r="F383" s="327"/>
      <c r="G383" s="327"/>
    </row>
    <row r="384" spans="1:8">
      <c r="A384" s="312">
        <v>5</v>
      </c>
      <c r="B384" s="312" t="s">
        <v>4187</v>
      </c>
      <c r="C384" s="313" t="s">
        <v>3630</v>
      </c>
      <c r="D384" s="764"/>
      <c r="E384" s="764" t="str">
        <f>+E383</f>
        <v>ABA730</v>
      </c>
      <c r="F384" s="327"/>
      <c r="G384" s="327"/>
    </row>
    <row r="385" spans="1:7">
      <c r="A385" s="312">
        <v>5</v>
      </c>
      <c r="B385" s="312" t="s">
        <v>4188</v>
      </c>
      <c r="C385" s="313" t="s">
        <v>3631</v>
      </c>
      <c r="D385" s="764"/>
      <c r="E385" s="764" t="str">
        <f>+E384</f>
        <v>ABA730</v>
      </c>
      <c r="F385" s="327"/>
      <c r="G385" s="327"/>
    </row>
    <row r="386" spans="1:7">
      <c r="A386" s="760" t="s">
        <v>1965</v>
      </c>
      <c r="B386" s="310" t="s">
        <v>3172</v>
      </c>
      <c r="C386" s="310" t="s">
        <v>3173</v>
      </c>
      <c r="D386" s="321"/>
      <c r="E386" s="321"/>
      <c r="F386" s="326"/>
      <c r="G386" s="326"/>
    </row>
    <row r="387" spans="1:7">
      <c r="A387" s="312" t="s">
        <v>1967</v>
      </c>
      <c r="B387" s="312" t="s">
        <v>4189</v>
      </c>
      <c r="C387" s="313" t="s">
        <v>2751</v>
      </c>
      <c r="D387" s="764"/>
      <c r="E387" s="764" t="str">
        <f>+B386</f>
        <v>ABA740</v>
      </c>
      <c r="F387" s="327"/>
      <c r="G387" s="327"/>
    </row>
    <row r="388" spans="1:7">
      <c r="A388" s="760" t="s">
        <v>1963</v>
      </c>
      <c r="B388" s="310" t="s">
        <v>3174</v>
      </c>
      <c r="C388" s="310" t="s">
        <v>3175</v>
      </c>
      <c r="D388" s="321"/>
      <c r="E388" s="321"/>
      <c r="F388" s="326"/>
      <c r="G388" s="326"/>
    </row>
    <row r="389" spans="1:7">
      <c r="A389" s="760" t="s">
        <v>1965</v>
      </c>
      <c r="B389" s="310" t="s">
        <v>3176</v>
      </c>
      <c r="C389" s="310" t="s">
        <v>3177</v>
      </c>
      <c r="D389" s="321"/>
      <c r="E389" s="321"/>
      <c r="F389" s="326"/>
      <c r="G389" s="326"/>
    </row>
    <row r="390" spans="1:7">
      <c r="A390" s="315">
        <v>5</v>
      </c>
      <c r="B390" s="315" t="s">
        <v>4190</v>
      </c>
      <c r="C390" s="316" t="s">
        <v>3632</v>
      </c>
      <c r="D390" s="324"/>
      <c r="E390" s="324"/>
      <c r="F390" s="771"/>
      <c r="G390" s="771"/>
    </row>
    <row r="391" spans="1:7">
      <c r="A391" s="312">
        <v>6</v>
      </c>
      <c r="B391" s="312" t="s">
        <v>4191</v>
      </c>
      <c r="C391" s="313" t="s">
        <v>4192</v>
      </c>
      <c r="D391" s="764"/>
      <c r="E391" s="764" t="str">
        <f>+B389</f>
        <v>ABA760</v>
      </c>
      <c r="F391" s="327">
        <v>1343</v>
      </c>
      <c r="G391" s="327">
        <v>1373.42</v>
      </c>
    </row>
    <row r="392" spans="1:7">
      <c r="A392" s="312">
        <v>6</v>
      </c>
      <c r="B392" s="312" t="s">
        <v>4193</v>
      </c>
      <c r="C392" s="313" t="s">
        <v>4194</v>
      </c>
      <c r="D392" s="764"/>
      <c r="E392" s="764" t="str">
        <f>+E391</f>
        <v>ABA760</v>
      </c>
      <c r="F392" s="327"/>
      <c r="G392" s="327"/>
    </row>
    <row r="393" spans="1:7">
      <c r="A393" s="315">
        <v>5</v>
      </c>
      <c r="B393" s="315" t="s">
        <v>4195</v>
      </c>
      <c r="C393" s="316" t="s">
        <v>3633</v>
      </c>
      <c r="D393" s="324"/>
      <c r="E393" s="324"/>
      <c r="F393" s="771"/>
      <c r="G393" s="771"/>
    </row>
    <row r="394" spans="1:7">
      <c r="A394" s="312">
        <v>6</v>
      </c>
      <c r="B394" s="312" t="s">
        <v>4196</v>
      </c>
      <c r="C394" s="313" t="s">
        <v>4197</v>
      </c>
      <c r="D394" s="764"/>
      <c r="E394" s="764" t="str">
        <f>+E392</f>
        <v>ABA760</v>
      </c>
      <c r="F394" s="327"/>
      <c r="G394" s="327"/>
    </row>
    <row r="395" spans="1:7">
      <c r="A395" s="312">
        <v>6</v>
      </c>
      <c r="B395" s="312" t="s">
        <v>4198</v>
      </c>
      <c r="C395" s="313" t="s">
        <v>4199</v>
      </c>
      <c r="D395" s="764"/>
      <c r="E395" s="764" t="str">
        <f>+E392</f>
        <v>ABA760</v>
      </c>
      <c r="F395" s="327"/>
      <c r="G395" s="327"/>
    </row>
    <row r="396" spans="1:7">
      <c r="A396" s="760" t="s">
        <v>1965</v>
      </c>
      <c r="B396" s="310" t="s">
        <v>3178</v>
      </c>
      <c r="C396" s="310" t="s">
        <v>3179</v>
      </c>
      <c r="D396" s="321"/>
      <c r="E396" s="321"/>
      <c r="F396" s="326"/>
      <c r="G396" s="326"/>
    </row>
    <row r="397" spans="1:7">
      <c r="A397" s="312">
        <v>5</v>
      </c>
      <c r="B397" s="312" t="s">
        <v>4200</v>
      </c>
      <c r="C397" s="313" t="s">
        <v>3634</v>
      </c>
      <c r="D397" s="764"/>
      <c r="E397" s="764" t="str">
        <f>+B396</f>
        <v>ABA770</v>
      </c>
      <c r="F397" s="327">
        <v>38997986.549999997</v>
      </c>
      <c r="G397" s="327">
        <v>32807352.829999998</v>
      </c>
    </row>
    <row r="398" spans="1:7">
      <c r="A398" s="312">
        <v>5</v>
      </c>
      <c r="B398" s="312" t="s">
        <v>4201</v>
      </c>
      <c r="C398" s="313" t="s">
        <v>4202</v>
      </c>
      <c r="D398" s="764"/>
      <c r="E398" s="764" t="str">
        <f>+E397</f>
        <v>ABA770</v>
      </c>
      <c r="F398" s="327"/>
      <c r="G398" s="327">
        <v>0</v>
      </c>
    </row>
    <row r="399" spans="1:7">
      <c r="A399" s="312">
        <v>5</v>
      </c>
      <c r="B399" s="312" t="s">
        <v>4203</v>
      </c>
      <c r="C399" s="313" t="s">
        <v>4204</v>
      </c>
      <c r="D399" s="764"/>
      <c r="E399" s="764" t="str">
        <f>+E398</f>
        <v>ABA770</v>
      </c>
      <c r="F399" s="327"/>
      <c r="G399" s="327">
        <v>0</v>
      </c>
    </row>
    <row r="400" spans="1:7">
      <c r="A400" s="312">
        <v>5</v>
      </c>
      <c r="B400" s="312" t="s">
        <v>4205</v>
      </c>
      <c r="C400" s="313" t="s">
        <v>3635</v>
      </c>
      <c r="D400" s="764"/>
      <c r="E400" s="764" t="str">
        <f>+E399</f>
        <v>ABA770</v>
      </c>
      <c r="F400" s="327"/>
      <c r="G400" s="327"/>
    </row>
    <row r="401" spans="1:7">
      <c r="A401" s="312">
        <v>5</v>
      </c>
      <c r="B401" s="312" t="s">
        <v>4206</v>
      </c>
      <c r="C401" s="313" t="s">
        <v>3636</v>
      </c>
      <c r="D401" s="764"/>
      <c r="E401" s="764" t="str">
        <f>+E400</f>
        <v>ABA770</v>
      </c>
      <c r="F401" s="327"/>
      <c r="G401" s="327"/>
    </row>
    <row r="402" spans="1:7">
      <c r="A402" s="760" t="s">
        <v>1965</v>
      </c>
      <c r="B402" s="310" t="s">
        <v>3180</v>
      </c>
      <c r="C402" s="310" t="s">
        <v>3181</v>
      </c>
      <c r="D402" s="321"/>
      <c r="E402" s="321"/>
      <c r="F402" s="326"/>
      <c r="G402" s="326"/>
    </row>
    <row r="403" spans="1:7">
      <c r="A403" s="312" t="s">
        <v>1967</v>
      </c>
      <c r="B403" s="312" t="s">
        <v>4207</v>
      </c>
      <c r="C403" s="313" t="s">
        <v>2756</v>
      </c>
      <c r="D403" s="764"/>
      <c r="E403" s="764" t="str">
        <f>+B402</f>
        <v>ABA780</v>
      </c>
      <c r="F403" s="327"/>
      <c r="G403" s="327"/>
    </row>
    <row r="404" spans="1:7">
      <c r="A404" s="760" t="s">
        <v>1965</v>
      </c>
      <c r="B404" s="310" t="s">
        <v>3182</v>
      </c>
      <c r="C404" s="310" t="s">
        <v>3183</v>
      </c>
      <c r="D404" s="321"/>
      <c r="E404" s="321"/>
      <c r="F404" s="326"/>
      <c r="G404" s="326"/>
    </row>
    <row r="405" spans="1:7">
      <c r="A405" s="312">
        <v>5</v>
      </c>
      <c r="B405" s="312" t="s">
        <v>4208</v>
      </c>
      <c r="C405" s="313" t="s">
        <v>4209</v>
      </c>
      <c r="D405" s="764"/>
      <c r="E405" s="764" t="str">
        <f>+B404</f>
        <v>ABA790</v>
      </c>
      <c r="F405" s="327"/>
      <c r="G405" s="327"/>
    </row>
    <row r="406" spans="1:7">
      <c r="A406" s="312">
        <v>5</v>
      </c>
      <c r="B406" s="312" t="s">
        <v>4210</v>
      </c>
      <c r="C406" s="313" t="s">
        <v>4211</v>
      </c>
      <c r="D406" s="764"/>
      <c r="E406" s="764" t="str">
        <f>+E405</f>
        <v>ABA790</v>
      </c>
      <c r="F406" s="327"/>
      <c r="G406" s="327"/>
    </row>
    <row r="407" spans="1:7">
      <c r="A407" s="312">
        <v>5</v>
      </c>
      <c r="B407" s="312" t="s">
        <v>4212</v>
      </c>
      <c r="C407" s="313" t="s">
        <v>4213</v>
      </c>
      <c r="D407" s="764"/>
      <c r="E407" s="764" t="str">
        <f>+E406</f>
        <v>ABA790</v>
      </c>
      <c r="F407" s="327"/>
      <c r="G407" s="327"/>
    </row>
    <row r="408" spans="1:7">
      <c r="A408" s="312">
        <v>5</v>
      </c>
      <c r="B408" s="312" t="s">
        <v>4214</v>
      </c>
      <c r="C408" s="313" t="s">
        <v>4215</v>
      </c>
      <c r="D408" s="764"/>
      <c r="E408" s="764" t="str">
        <f>+E407</f>
        <v>ABA790</v>
      </c>
      <c r="F408" s="327"/>
      <c r="G408" s="327"/>
    </row>
    <row r="409" spans="1:7">
      <c r="A409" s="312">
        <v>5</v>
      </c>
      <c r="B409" s="312" t="s">
        <v>4216</v>
      </c>
      <c r="C409" s="313" t="s">
        <v>4217</v>
      </c>
      <c r="D409" s="764"/>
      <c r="E409" s="764" t="str">
        <f>+E408</f>
        <v>ABA790</v>
      </c>
      <c r="F409" s="327"/>
      <c r="G409" s="327"/>
    </row>
    <row r="410" spans="1:7">
      <c r="A410" s="315">
        <v>4</v>
      </c>
      <c r="B410" s="315" t="s">
        <v>4218</v>
      </c>
      <c r="C410" s="316" t="s">
        <v>3637</v>
      </c>
      <c r="D410" s="324"/>
      <c r="E410" s="324"/>
      <c r="F410" s="771"/>
      <c r="G410" s="771"/>
    </row>
    <row r="411" spans="1:7">
      <c r="A411" s="312">
        <v>5</v>
      </c>
      <c r="B411" s="312" t="s">
        <v>4219</v>
      </c>
      <c r="C411" s="313" t="s">
        <v>3638</v>
      </c>
      <c r="D411" s="764"/>
      <c r="E411" s="764" t="str">
        <f>+B404</f>
        <v>ABA790</v>
      </c>
      <c r="F411" s="327"/>
      <c r="G411" s="327">
        <v>0</v>
      </c>
    </row>
    <row r="412" spans="1:7">
      <c r="A412" s="312">
        <v>5</v>
      </c>
      <c r="B412" s="312" t="s">
        <v>4220</v>
      </c>
      <c r="C412" s="313" t="s">
        <v>3639</v>
      </c>
      <c r="D412" s="764"/>
      <c r="E412" s="764" t="str">
        <f>+E411</f>
        <v>ABA790</v>
      </c>
      <c r="F412" s="327"/>
      <c r="G412" s="327">
        <v>0</v>
      </c>
    </row>
    <row r="413" spans="1:7">
      <c r="A413" s="312">
        <v>5</v>
      </c>
      <c r="B413" s="312" t="s">
        <v>4221</v>
      </c>
      <c r="C413" s="313" t="s">
        <v>3640</v>
      </c>
      <c r="D413" s="764"/>
      <c r="E413" s="764" t="str">
        <f t="shared" ref="E413:E422" si="3">+E412</f>
        <v>ABA790</v>
      </c>
      <c r="F413" s="327"/>
      <c r="G413" s="327">
        <v>0</v>
      </c>
    </row>
    <row r="414" spans="1:7">
      <c r="A414" s="312">
        <v>5</v>
      </c>
      <c r="B414" s="312" t="s">
        <v>4222</v>
      </c>
      <c r="C414" s="313" t="s">
        <v>3641</v>
      </c>
      <c r="D414" s="764"/>
      <c r="E414" s="764" t="str">
        <f t="shared" si="3"/>
        <v>ABA790</v>
      </c>
      <c r="F414" s="327"/>
      <c r="G414" s="327"/>
    </row>
    <row r="415" spans="1:7">
      <c r="A415" s="312">
        <v>5</v>
      </c>
      <c r="B415" s="312" t="s">
        <v>4223</v>
      </c>
      <c r="C415" s="313" t="s">
        <v>3642</v>
      </c>
      <c r="D415" s="764"/>
      <c r="E415" s="764" t="str">
        <f t="shared" si="3"/>
        <v>ABA790</v>
      </c>
      <c r="F415" s="327"/>
      <c r="G415" s="327">
        <v>0</v>
      </c>
    </row>
    <row r="416" spans="1:7">
      <c r="A416" s="312">
        <v>5</v>
      </c>
      <c r="B416" s="312" t="s">
        <v>4224</v>
      </c>
      <c r="C416" s="313" t="s">
        <v>3643</v>
      </c>
      <c r="D416" s="764"/>
      <c r="E416" s="764" t="str">
        <f t="shared" si="3"/>
        <v>ABA790</v>
      </c>
      <c r="F416" s="327"/>
      <c r="G416" s="327">
        <v>0</v>
      </c>
    </row>
    <row r="417" spans="1:7">
      <c r="A417" s="312">
        <v>5</v>
      </c>
      <c r="B417" s="312" t="s">
        <v>4225</v>
      </c>
      <c r="C417" s="313" t="s">
        <v>3644</v>
      </c>
      <c r="D417" s="764"/>
      <c r="E417" s="764" t="str">
        <f t="shared" si="3"/>
        <v>ABA790</v>
      </c>
      <c r="F417" s="327"/>
      <c r="G417" s="327"/>
    </row>
    <row r="418" spans="1:7">
      <c r="A418" s="312">
        <v>5</v>
      </c>
      <c r="B418" s="312" t="s">
        <v>4226</v>
      </c>
      <c r="C418" s="313" t="s">
        <v>3645</v>
      </c>
      <c r="D418" s="764"/>
      <c r="E418" s="764" t="str">
        <f t="shared" si="3"/>
        <v>ABA790</v>
      </c>
      <c r="F418" s="327"/>
      <c r="G418" s="327">
        <v>0</v>
      </c>
    </row>
    <row r="419" spans="1:7">
      <c r="A419" s="312">
        <v>5</v>
      </c>
      <c r="B419" s="312" t="s">
        <v>4227</v>
      </c>
      <c r="C419" s="313" t="s">
        <v>3646</v>
      </c>
      <c r="D419" s="764"/>
      <c r="E419" s="764" t="str">
        <f t="shared" si="3"/>
        <v>ABA790</v>
      </c>
      <c r="F419" s="327"/>
      <c r="G419" s="327">
        <v>0</v>
      </c>
    </row>
    <row r="420" spans="1:7">
      <c r="A420" s="312">
        <v>5</v>
      </c>
      <c r="B420" s="312" t="s">
        <v>4228</v>
      </c>
      <c r="C420" s="313" t="s">
        <v>3647</v>
      </c>
      <c r="D420" s="764"/>
      <c r="E420" s="764" t="str">
        <f t="shared" si="3"/>
        <v>ABA790</v>
      </c>
      <c r="F420" s="327"/>
      <c r="G420" s="327"/>
    </row>
    <row r="421" spans="1:7">
      <c r="A421" s="312">
        <v>5</v>
      </c>
      <c r="B421" s="312" t="s">
        <v>4229</v>
      </c>
      <c r="C421" s="313" t="s">
        <v>3648</v>
      </c>
      <c r="D421" s="764"/>
      <c r="E421" s="764" t="str">
        <f t="shared" si="3"/>
        <v>ABA790</v>
      </c>
      <c r="F421" s="327"/>
      <c r="G421" s="327">
        <v>0</v>
      </c>
    </row>
    <row r="422" spans="1:7">
      <c r="A422" s="312">
        <v>5</v>
      </c>
      <c r="B422" s="312" t="s">
        <v>4230</v>
      </c>
      <c r="C422" s="313" t="s">
        <v>3649</v>
      </c>
      <c r="D422" s="764"/>
      <c r="E422" s="764" t="str">
        <f t="shared" si="3"/>
        <v>ABA790</v>
      </c>
      <c r="F422" s="327"/>
      <c r="G422" s="327"/>
    </row>
    <row r="423" spans="1:7">
      <c r="A423" s="760" t="s">
        <v>1960</v>
      </c>
      <c r="B423" s="310" t="s">
        <v>3184</v>
      </c>
      <c r="C423" s="310" t="s">
        <v>3185</v>
      </c>
      <c r="D423" s="321"/>
      <c r="E423" s="321"/>
      <c r="F423" s="326"/>
      <c r="G423" s="326"/>
    </row>
    <row r="424" spans="1:7">
      <c r="A424" s="760" t="s">
        <v>1963</v>
      </c>
      <c r="B424" s="310" t="s">
        <v>3186</v>
      </c>
      <c r="C424" s="310" t="s">
        <v>3187</v>
      </c>
      <c r="D424" s="321"/>
      <c r="E424" s="321"/>
      <c r="F424" s="326"/>
      <c r="G424" s="326"/>
    </row>
    <row r="425" spans="1:7">
      <c r="A425" s="760" t="s">
        <v>1965</v>
      </c>
      <c r="B425" s="310" t="s">
        <v>3188</v>
      </c>
      <c r="C425" s="310" t="s">
        <v>3189</v>
      </c>
      <c r="D425" s="321"/>
      <c r="E425" s="321"/>
      <c r="F425" s="326"/>
      <c r="G425" s="326"/>
    </row>
    <row r="426" spans="1:7">
      <c r="A426" s="312" t="s">
        <v>1967</v>
      </c>
      <c r="B426" s="312" t="s">
        <v>4231</v>
      </c>
      <c r="C426" s="313" t="s">
        <v>2760</v>
      </c>
      <c r="D426" s="764"/>
      <c r="E426" s="764" t="str">
        <f>+B425</f>
        <v>ACA010</v>
      </c>
      <c r="F426" s="327"/>
      <c r="G426" s="327"/>
    </row>
    <row r="427" spans="1:7">
      <c r="A427" s="760" t="s">
        <v>1965</v>
      </c>
      <c r="B427" s="310" t="s">
        <v>3190</v>
      </c>
      <c r="C427" s="310" t="s">
        <v>3191</v>
      </c>
      <c r="D427" s="321" t="s">
        <v>1248</v>
      </c>
      <c r="E427" s="321"/>
      <c r="F427" s="326"/>
      <c r="G427" s="326"/>
    </row>
    <row r="428" spans="1:7">
      <c r="A428" s="312" t="s">
        <v>1967</v>
      </c>
      <c r="B428" s="312" t="s">
        <v>4232</v>
      </c>
      <c r="C428" s="313" t="s">
        <v>3650</v>
      </c>
      <c r="D428" s="764" t="s">
        <v>1248</v>
      </c>
      <c r="E428" s="764" t="str">
        <f>+B427</f>
        <v>ACA020</v>
      </c>
      <c r="F428" s="327"/>
      <c r="G428" s="327"/>
    </row>
    <row r="429" spans="1:7">
      <c r="A429" s="760" t="s">
        <v>1963</v>
      </c>
      <c r="B429" s="310" t="s">
        <v>3192</v>
      </c>
      <c r="C429" s="310" t="s">
        <v>3193</v>
      </c>
      <c r="D429" s="321"/>
      <c r="E429" s="321"/>
      <c r="F429" s="326"/>
      <c r="G429" s="326"/>
    </row>
    <row r="430" spans="1:7">
      <c r="A430" s="760" t="s">
        <v>1965</v>
      </c>
      <c r="B430" s="310" t="s">
        <v>3194</v>
      </c>
      <c r="C430" s="310" t="s">
        <v>3195</v>
      </c>
      <c r="D430" s="321"/>
      <c r="E430" s="321"/>
      <c r="F430" s="326"/>
      <c r="G430" s="326"/>
    </row>
    <row r="431" spans="1:7">
      <c r="A431" s="312" t="s">
        <v>1967</v>
      </c>
      <c r="B431" s="312" t="s">
        <v>4233</v>
      </c>
      <c r="C431" s="313" t="s">
        <v>2761</v>
      </c>
      <c r="D431" s="764"/>
      <c r="E431" s="764" t="str">
        <f>+B430</f>
        <v>ACA040</v>
      </c>
      <c r="F431" s="327">
        <v>663555.41</v>
      </c>
      <c r="G431" s="327">
        <v>1841598.81</v>
      </c>
    </row>
    <row r="432" spans="1:7">
      <c r="A432" s="760" t="s">
        <v>1965</v>
      </c>
      <c r="B432" s="310" t="s">
        <v>3196</v>
      </c>
      <c r="C432" s="310" t="s">
        <v>3197</v>
      </c>
      <c r="D432" s="321" t="s">
        <v>1248</v>
      </c>
      <c r="E432" s="321"/>
      <c r="F432" s="326"/>
      <c r="G432" s="326"/>
    </row>
    <row r="433" spans="1:7">
      <c r="A433" s="312" t="s">
        <v>1967</v>
      </c>
      <c r="B433" s="312" t="s">
        <v>4234</v>
      </c>
      <c r="C433" s="313" t="s">
        <v>3651</v>
      </c>
      <c r="D433" s="764" t="s">
        <v>1248</v>
      </c>
      <c r="E433" s="764" t="str">
        <f>+B432</f>
        <v>ACA050</v>
      </c>
      <c r="F433" s="327"/>
      <c r="G433" s="327"/>
    </row>
    <row r="434" spans="1:7" s="331" customFormat="1">
      <c r="A434" s="769" t="s">
        <v>1960</v>
      </c>
      <c r="B434" s="772" t="s">
        <v>3198</v>
      </c>
      <c r="C434" s="772" t="s">
        <v>3199</v>
      </c>
      <c r="D434" s="773"/>
      <c r="E434" s="773"/>
      <c r="F434" s="774">
        <f>SUM(F7:F433)</f>
        <v>243721454.91</v>
      </c>
      <c r="G434" s="774">
        <v>249702444.94999993</v>
      </c>
    </row>
    <row r="435" spans="1:7">
      <c r="A435" s="760" t="s">
        <v>1960</v>
      </c>
      <c r="B435" s="310" t="s">
        <v>3200</v>
      </c>
      <c r="C435" s="310" t="s">
        <v>3201</v>
      </c>
      <c r="D435" s="321"/>
      <c r="E435" s="321"/>
      <c r="F435" s="326"/>
      <c r="G435" s="326"/>
    </row>
    <row r="436" spans="1:7">
      <c r="A436" s="760" t="s">
        <v>1963</v>
      </c>
      <c r="B436" s="310" t="s">
        <v>3202</v>
      </c>
      <c r="C436" s="310" t="s">
        <v>3203</v>
      </c>
      <c r="D436" s="321"/>
      <c r="E436" s="321"/>
      <c r="F436" s="326"/>
      <c r="G436" s="326"/>
    </row>
    <row r="437" spans="1:7">
      <c r="A437" s="312" t="s">
        <v>1965</v>
      </c>
      <c r="B437" s="312" t="s">
        <v>4235</v>
      </c>
      <c r="C437" s="313" t="s">
        <v>4236</v>
      </c>
      <c r="D437" s="764"/>
      <c r="E437" s="764" t="str">
        <f>+B436</f>
        <v>ADA000</v>
      </c>
      <c r="F437" s="327"/>
      <c r="G437" s="327"/>
    </row>
    <row r="438" spans="1:7">
      <c r="A438" s="760" t="s">
        <v>1963</v>
      </c>
      <c r="B438" s="310" t="s">
        <v>3204</v>
      </c>
      <c r="C438" s="310" t="s">
        <v>3205</v>
      </c>
      <c r="D438" s="321"/>
      <c r="E438" s="321"/>
      <c r="F438" s="326"/>
      <c r="G438" s="326"/>
    </row>
    <row r="439" spans="1:7">
      <c r="A439" s="312" t="s">
        <v>1965</v>
      </c>
      <c r="B439" s="312" t="s">
        <v>4237</v>
      </c>
      <c r="C439" s="313" t="s">
        <v>4238</v>
      </c>
      <c r="D439" s="764"/>
      <c r="E439" s="764" t="str">
        <f>+B438</f>
        <v>ADA010</v>
      </c>
      <c r="F439" s="327"/>
      <c r="G439" s="327"/>
    </row>
    <row r="440" spans="1:7">
      <c r="A440" s="760" t="s">
        <v>1963</v>
      </c>
      <c r="B440" s="310" t="s">
        <v>3206</v>
      </c>
      <c r="C440" s="310" t="s">
        <v>3207</v>
      </c>
      <c r="D440" s="321"/>
      <c r="E440" s="321"/>
      <c r="F440" s="326"/>
      <c r="G440" s="326"/>
    </row>
    <row r="441" spans="1:7">
      <c r="A441" s="312" t="s">
        <v>1965</v>
      </c>
      <c r="B441" s="312" t="s">
        <v>4239</v>
      </c>
      <c r="C441" s="313" t="s">
        <v>4240</v>
      </c>
      <c r="D441" s="764"/>
      <c r="E441" s="764" t="str">
        <f>+B440</f>
        <v>ADA020</v>
      </c>
      <c r="F441" s="327">
        <v>347396.87</v>
      </c>
      <c r="G441" s="327">
        <v>347396.87</v>
      </c>
    </row>
    <row r="442" spans="1:7">
      <c r="A442" s="760" t="s">
        <v>1963</v>
      </c>
      <c r="B442" s="310" t="s">
        <v>3208</v>
      </c>
      <c r="C442" s="310" t="s">
        <v>3209</v>
      </c>
      <c r="D442" s="321"/>
      <c r="E442" s="321"/>
      <c r="F442" s="326"/>
      <c r="G442" s="326"/>
    </row>
    <row r="443" spans="1:7">
      <c r="A443" s="312" t="s">
        <v>1965</v>
      </c>
      <c r="B443" s="312" t="s">
        <v>4241</v>
      </c>
      <c r="C443" s="313" t="s">
        <v>4242</v>
      </c>
      <c r="D443" s="764"/>
      <c r="E443" s="764" t="str">
        <f>+B442</f>
        <v>ADA021</v>
      </c>
      <c r="F443" s="327"/>
      <c r="G443" s="327"/>
    </row>
    <row r="444" spans="1:7">
      <c r="A444" s="760" t="s">
        <v>1963</v>
      </c>
      <c r="B444" s="310" t="s">
        <v>3210</v>
      </c>
      <c r="C444" s="310" t="s">
        <v>3211</v>
      </c>
      <c r="D444" s="321"/>
      <c r="E444" s="321"/>
      <c r="F444" s="326"/>
      <c r="G444" s="326"/>
    </row>
    <row r="445" spans="1:7">
      <c r="A445" s="312">
        <v>4</v>
      </c>
      <c r="B445" s="312" t="s">
        <v>4243</v>
      </c>
      <c r="C445" s="313" t="s">
        <v>4244</v>
      </c>
      <c r="D445" s="764"/>
      <c r="E445" s="764" t="str">
        <f>+B444</f>
        <v>ADA030</v>
      </c>
      <c r="F445" s="327"/>
      <c r="G445" s="327"/>
    </row>
    <row r="446" spans="1:7" ht="24">
      <c r="A446" s="312">
        <v>4</v>
      </c>
      <c r="B446" s="312" t="s">
        <v>4245</v>
      </c>
      <c r="C446" s="313" t="s">
        <v>4246</v>
      </c>
      <c r="D446" s="764"/>
      <c r="E446" s="764" t="str">
        <f>+E445</f>
        <v>ADA030</v>
      </c>
      <c r="F446" s="327"/>
      <c r="G446" s="327"/>
    </row>
    <row r="447" spans="1:7" ht="24">
      <c r="A447" s="312">
        <v>4</v>
      </c>
      <c r="B447" s="312" t="s">
        <v>4247</v>
      </c>
      <c r="C447" s="313" t="s">
        <v>4248</v>
      </c>
      <c r="D447" s="764"/>
      <c r="E447" s="764" t="str">
        <f t="shared" ref="E447:E449" si="4">+E446</f>
        <v>ADA030</v>
      </c>
      <c r="F447" s="327"/>
      <c r="G447" s="327"/>
    </row>
    <row r="448" spans="1:7">
      <c r="A448" s="312">
        <v>4</v>
      </c>
      <c r="B448" s="312" t="s">
        <v>4249</v>
      </c>
      <c r="C448" s="313" t="s">
        <v>4250</v>
      </c>
      <c r="D448" s="764"/>
      <c r="E448" s="764" t="str">
        <f t="shared" si="4"/>
        <v>ADA030</v>
      </c>
      <c r="F448" s="327"/>
      <c r="G448" s="327"/>
    </row>
    <row r="449" spans="1:7">
      <c r="A449" s="312">
        <v>4</v>
      </c>
      <c r="B449" s="312" t="s">
        <v>4251</v>
      </c>
      <c r="C449" s="313" t="s">
        <v>4252</v>
      </c>
      <c r="D449" s="764"/>
      <c r="E449" s="764" t="str">
        <f t="shared" si="4"/>
        <v>ADA030</v>
      </c>
      <c r="F449" s="327"/>
      <c r="G449" s="327"/>
    </row>
    <row r="450" spans="1:7">
      <c r="F450" s="210">
        <f>+F434-'SP Pas Alim'!F300</f>
        <v>0</v>
      </c>
      <c r="G450" s="210">
        <f>+G434-'SP Pas Alim'!G300</f>
        <v>-3.5998821258544922E-3</v>
      </c>
    </row>
  </sheetData>
  <autoFilter ref="A1:H450"/>
  <conditionalFormatting sqref="C2">
    <cfRule type="duplicateValues" dxfId="5" priority="1"/>
  </conditionalFormatting>
  <conditionalFormatting sqref="C98">
    <cfRule type="duplicateValues" dxfId="4" priority="3"/>
  </conditionalFormatting>
  <conditionalFormatting sqref="C189">
    <cfRule type="duplicateValues" dxfId="3" priority="2"/>
  </conditionalFormatting>
  <conditionalFormatting sqref="C339">
    <cfRule type="duplicateValues" dxfId="2" priority="4"/>
  </conditionalFormatting>
  <conditionalFormatting sqref="C340:C449 C99:C188 C3:C97 C190:C338">
    <cfRule type="duplicateValues" dxfId="1" priority="5"/>
  </conditionalFormatting>
  <pageMargins left="0.70866141732283472" right="0.70866141732283472" top="0.74803149606299213" bottom="0.74803149606299213" header="0.31496062992125984" footer="0.31496062992125984"/>
  <pageSetup paperSize="9" scale="65" fitToHeight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7"/>
  <sheetViews>
    <sheetView workbookViewId="0">
      <pane ySplit="1" topLeftCell="A14" activePane="bottomLeft" state="frozen"/>
      <selection activeCell="H381" sqref="H381"/>
      <selection pane="bottomLeft" activeCell="C323" sqref="C323"/>
    </sheetView>
  </sheetViews>
  <sheetFormatPr defaultRowHeight="12.75"/>
  <cols>
    <col min="1" max="1" width="6.140625" bestFit="1" customWidth="1"/>
    <col min="2" max="2" width="19.28515625" customWidth="1"/>
    <col min="3" max="3" width="74" customWidth="1"/>
    <col min="4" max="4" width="8.42578125" bestFit="1" customWidth="1"/>
    <col min="5" max="5" width="8.42578125" hidden="1" customWidth="1"/>
    <col min="6" max="7" width="20.42578125" style="210" customWidth="1"/>
    <col min="9" max="9" width="14.5703125" bestFit="1" customWidth="1"/>
  </cols>
  <sheetData>
    <row r="1" spans="1:7" ht="26.25" thickBot="1">
      <c r="A1" s="758" t="s">
        <v>120</v>
      </c>
      <c r="B1" s="307" t="s">
        <v>2048</v>
      </c>
      <c r="C1" s="307" t="s">
        <v>121</v>
      </c>
      <c r="D1" s="307" t="s">
        <v>1936</v>
      </c>
      <c r="E1" s="307"/>
      <c r="F1" s="308" t="s">
        <v>3899</v>
      </c>
      <c r="G1" s="308" t="s">
        <v>3478</v>
      </c>
    </row>
    <row r="2" spans="1:7">
      <c r="A2" s="760" t="s">
        <v>1842</v>
      </c>
      <c r="B2" s="761" t="s">
        <v>4253</v>
      </c>
      <c r="C2" s="761" t="s">
        <v>4254</v>
      </c>
      <c r="D2" s="762"/>
      <c r="E2" s="762"/>
      <c r="F2" s="763"/>
      <c r="G2" s="763"/>
    </row>
    <row r="3" spans="1:7">
      <c r="A3" s="760" t="s">
        <v>1960</v>
      </c>
      <c r="B3" s="310" t="s">
        <v>3212</v>
      </c>
      <c r="C3" s="310" t="s">
        <v>3213</v>
      </c>
      <c r="D3" s="321"/>
      <c r="E3" s="321"/>
      <c r="F3" s="326"/>
      <c r="G3" s="326"/>
    </row>
    <row r="4" spans="1:7">
      <c r="A4" s="760" t="s">
        <v>1963</v>
      </c>
      <c r="B4" s="310" t="s">
        <v>3214</v>
      </c>
      <c r="C4" s="310" t="s">
        <v>3215</v>
      </c>
      <c r="D4" s="321"/>
      <c r="E4" s="321"/>
      <c r="F4" s="326"/>
      <c r="G4" s="326"/>
    </row>
    <row r="5" spans="1:7">
      <c r="A5" s="312" t="s">
        <v>1965</v>
      </c>
      <c r="B5" s="312" t="s">
        <v>4255</v>
      </c>
      <c r="C5" s="313" t="s">
        <v>3652</v>
      </c>
      <c r="D5" s="764"/>
      <c r="E5" s="764" t="str">
        <f>+B4</f>
        <v>PAA000</v>
      </c>
      <c r="F5" s="327"/>
      <c r="G5" s="327"/>
    </row>
    <row r="6" spans="1:7">
      <c r="A6" s="760" t="s">
        <v>1963</v>
      </c>
      <c r="B6" s="310" t="s">
        <v>3216</v>
      </c>
      <c r="C6" s="310" t="s">
        <v>3217</v>
      </c>
      <c r="D6" s="321"/>
      <c r="E6" s="321"/>
      <c r="F6" s="326"/>
      <c r="G6" s="326"/>
    </row>
    <row r="7" spans="1:7">
      <c r="A7" s="760" t="s">
        <v>1965</v>
      </c>
      <c r="B7" s="310" t="s">
        <v>3218</v>
      </c>
      <c r="C7" s="310" t="s">
        <v>3219</v>
      </c>
      <c r="D7" s="321"/>
      <c r="E7" s="321"/>
      <c r="F7" s="326"/>
      <c r="G7" s="326"/>
    </row>
    <row r="8" spans="1:7">
      <c r="A8" s="312" t="s">
        <v>1967</v>
      </c>
      <c r="B8" s="312" t="s">
        <v>4256</v>
      </c>
      <c r="C8" s="313" t="s">
        <v>2776</v>
      </c>
      <c r="D8" s="764"/>
      <c r="E8" s="764" t="str">
        <f>+B7</f>
        <v>PAA020</v>
      </c>
      <c r="F8" s="327"/>
      <c r="G8" s="327"/>
    </row>
    <row r="9" spans="1:7">
      <c r="A9" s="760" t="s">
        <v>1965</v>
      </c>
      <c r="B9" s="310" t="s">
        <v>3220</v>
      </c>
      <c r="C9" s="310" t="s">
        <v>3221</v>
      </c>
      <c r="D9" s="321"/>
      <c r="E9" s="321"/>
      <c r="F9" s="326"/>
      <c r="G9" s="326"/>
    </row>
    <row r="10" spans="1:7">
      <c r="A10" s="760" t="s">
        <v>1967</v>
      </c>
      <c r="B10" s="310" t="s">
        <v>3222</v>
      </c>
      <c r="C10" s="310" t="s">
        <v>3223</v>
      </c>
      <c r="D10" s="321"/>
      <c r="E10" s="321"/>
      <c r="F10" s="326"/>
      <c r="G10" s="326"/>
    </row>
    <row r="11" spans="1:7">
      <c r="A11" s="312" t="s">
        <v>1969</v>
      </c>
      <c r="B11" s="312" t="s">
        <v>4257</v>
      </c>
      <c r="C11" s="313" t="s">
        <v>2779</v>
      </c>
      <c r="D11" s="764"/>
      <c r="E11" s="764" t="str">
        <f>+B10</f>
        <v>PAA040</v>
      </c>
      <c r="F11" s="327"/>
      <c r="G11" s="327"/>
    </row>
    <row r="12" spans="1:7">
      <c r="A12" s="760" t="s">
        <v>1967</v>
      </c>
      <c r="B12" s="310" t="s">
        <v>3224</v>
      </c>
      <c r="C12" s="310" t="s">
        <v>3225</v>
      </c>
      <c r="D12" s="321"/>
      <c r="E12" s="321"/>
      <c r="F12" s="326"/>
      <c r="G12" s="326"/>
    </row>
    <row r="13" spans="1:7">
      <c r="A13" s="312" t="s">
        <v>1969</v>
      </c>
      <c r="B13" s="312" t="s">
        <v>4258</v>
      </c>
      <c r="C13" s="313" t="s">
        <v>3653</v>
      </c>
      <c r="D13" s="764"/>
      <c r="E13" s="764" t="str">
        <f>+B12</f>
        <v>PAA050</v>
      </c>
      <c r="F13" s="327"/>
      <c r="G13" s="327"/>
    </row>
    <row r="14" spans="1:7">
      <c r="A14" s="760" t="s">
        <v>1967</v>
      </c>
      <c r="B14" s="310" t="s">
        <v>3226</v>
      </c>
      <c r="C14" s="310" t="s">
        <v>3227</v>
      </c>
      <c r="D14" s="321"/>
      <c r="E14" s="321"/>
      <c r="F14" s="326"/>
      <c r="G14" s="326"/>
    </row>
    <row r="15" spans="1:7">
      <c r="A15" s="312" t="s">
        <v>1969</v>
      </c>
      <c r="B15" s="312" t="s">
        <v>4259</v>
      </c>
      <c r="C15" s="313" t="s">
        <v>3654</v>
      </c>
      <c r="D15" s="764"/>
      <c r="E15" s="764" t="str">
        <f>+B14</f>
        <v>PAA060</v>
      </c>
      <c r="F15" s="327"/>
      <c r="G15" s="327"/>
    </row>
    <row r="16" spans="1:7">
      <c r="A16" s="760" t="s">
        <v>1965</v>
      </c>
      <c r="B16" s="310" t="s">
        <v>3228</v>
      </c>
      <c r="C16" s="310" t="s">
        <v>3229</v>
      </c>
      <c r="D16" s="321"/>
      <c r="E16" s="321"/>
      <c r="F16" s="326"/>
      <c r="G16" s="326"/>
    </row>
    <row r="17" spans="1:7">
      <c r="A17" s="312">
        <v>5</v>
      </c>
      <c r="B17" s="312" t="s">
        <v>4260</v>
      </c>
      <c r="C17" s="313" t="s">
        <v>3655</v>
      </c>
      <c r="D17" s="764"/>
      <c r="E17" s="764" t="str">
        <f>+B16</f>
        <v>PAA070</v>
      </c>
      <c r="F17" s="327">
        <v>930874.5</v>
      </c>
      <c r="G17" s="327">
        <v>807077.27</v>
      </c>
    </row>
    <row r="18" spans="1:7">
      <c r="A18" s="312">
        <v>5</v>
      </c>
      <c r="B18" s="312" t="s">
        <v>4261</v>
      </c>
      <c r="C18" s="313" t="s">
        <v>3656</v>
      </c>
      <c r="D18" s="764"/>
      <c r="E18" s="764" t="str">
        <f>+E17</f>
        <v>PAA070</v>
      </c>
      <c r="F18" s="327">
        <v>11760677.33</v>
      </c>
      <c r="G18" s="327"/>
    </row>
    <row r="19" spans="1:7">
      <c r="A19" s="760" t="s">
        <v>1965</v>
      </c>
      <c r="B19" s="310" t="s">
        <v>3230</v>
      </c>
      <c r="C19" s="310" t="s">
        <v>3231</v>
      </c>
      <c r="D19" s="321"/>
      <c r="E19" s="321"/>
      <c r="F19" s="326"/>
      <c r="G19" s="326"/>
    </row>
    <row r="20" spans="1:7">
      <c r="A20" s="312">
        <v>5</v>
      </c>
      <c r="B20" s="312" t="s">
        <v>4262</v>
      </c>
      <c r="C20" s="313" t="s">
        <v>3657</v>
      </c>
      <c r="D20" s="764"/>
      <c r="E20" s="764" t="str">
        <f>+B19</f>
        <v>PAA080</v>
      </c>
      <c r="F20" s="327"/>
      <c r="G20" s="327"/>
    </row>
    <row r="21" spans="1:7">
      <c r="A21" s="312">
        <v>5</v>
      </c>
      <c r="B21" s="312" t="s">
        <v>4263</v>
      </c>
      <c r="C21" s="313" t="s">
        <v>3658</v>
      </c>
      <c r="D21" s="764"/>
      <c r="E21" s="764" t="str">
        <f>+E20</f>
        <v>PAA080</v>
      </c>
      <c r="F21" s="327">
        <v>1882.46</v>
      </c>
      <c r="G21" s="327">
        <v>1882.46</v>
      </c>
    </row>
    <row r="22" spans="1:7">
      <c r="A22" s="760" t="s">
        <v>1965</v>
      </c>
      <c r="B22" s="310" t="s">
        <v>3232</v>
      </c>
      <c r="C22" s="310" t="s">
        <v>3233</v>
      </c>
      <c r="D22" s="321"/>
      <c r="E22" s="321"/>
      <c r="F22" s="326"/>
      <c r="G22" s="326"/>
    </row>
    <row r="23" spans="1:7">
      <c r="A23" s="312" t="s">
        <v>1967</v>
      </c>
      <c r="B23" s="312" t="s">
        <v>4264</v>
      </c>
      <c r="C23" s="313" t="s">
        <v>2785</v>
      </c>
      <c r="D23" s="764"/>
      <c r="E23" s="764" t="str">
        <f>+B22</f>
        <v>PAA090</v>
      </c>
      <c r="F23" s="327"/>
      <c r="G23" s="327"/>
    </row>
    <row r="24" spans="1:7">
      <c r="A24" s="760" t="s">
        <v>1963</v>
      </c>
      <c r="B24" s="310" t="s">
        <v>3234</v>
      </c>
      <c r="C24" s="310" t="s">
        <v>3235</v>
      </c>
      <c r="D24" s="321"/>
      <c r="E24" s="321"/>
      <c r="F24" s="326"/>
      <c r="G24" s="326"/>
    </row>
    <row r="25" spans="1:7">
      <c r="A25" s="312" t="s">
        <v>1965</v>
      </c>
      <c r="B25" s="312" t="s">
        <v>4265</v>
      </c>
      <c r="C25" s="313" t="s">
        <v>3659</v>
      </c>
      <c r="D25" s="764"/>
      <c r="E25" s="764" t="str">
        <f>+B24</f>
        <v>PAA100</v>
      </c>
      <c r="F25" s="327"/>
      <c r="G25" s="327"/>
    </row>
    <row r="26" spans="1:7">
      <c r="A26" s="760" t="s">
        <v>1963</v>
      </c>
      <c r="B26" s="310" t="s">
        <v>3236</v>
      </c>
      <c r="C26" s="310" t="s">
        <v>3237</v>
      </c>
      <c r="D26" s="321"/>
      <c r="E26" s="321"/>
      <c r="F26" s="326"/>
      <c r="G26" s="326"/>
    </row>
    <row r="27" spans="1:7">
      <c r="A27" s="760" t="s">
        <v>1965</v>
      </c>
      <c r="B27" s="310" t="s">
        <v>3238</v>
      </c>
      <c r="C27" s="310" t="s">
        <v>3239</v>
      </c>
      <c r="D27" s="321"/>
      <c r="E27" s="321"/>
      <c r="F27" s="326"/>
      <c r="G27" s="326"/>
    </row>
    <row r="28" spans="1:7">
      <c r="A28" s="312" t="s">
        <v>1967</v>
      </c>
      <c r="B28" s="312" t="s">
        <v>4266</v>
      </c>
      <c r="C28" s="313" t="s">
        <v>3660</v>
      </c>
      <c r="D28" s="764"/>
      <c r="E28" s="764" t="str">
        <f>+B27</f>
        <v>PAA120</v>
      </c>
      <c r="F28" s="327"/>
      <c r="G28" s="327"/>
    </row>
    <row r="29" spans="1:7">
      <c r="A29" s="760" t="s">
        <v>1965</v>
      </c>
      <c r="B29" s="310" t="s">
        <v>3240</v>
      </c>
      <c r="C29" s="310" t="s">
        <v>3241</v>
      </c>
      <c r="D29" s="321"/>
      <c r="E29" s="321"/>
      <c r="F29" s="326"/>
      <c r="G29" s="326"/>
    </row>
    <row r="30" spans="1:7">
      <c r="A30" s="312" t="s">
        <v>1967</v>
      </c>
      <c r="B30" s="312" t="s">
        <v>4267</v>
      </c>
      <c r="C30" s="313" t="s">
        <v>3661</v>
      </c>
      <c r="D30" s="764"/>
      <c r="E30" s="764" t="str">
        <f>+B29</f>
        <v>PAA130</v>
      </c>
      <c r="F30" s="327"/>
      <c r="G30" s="327"/>
    </row>
    <row r="31" spans="1:7">
      <c r="A31" s="760" t="s">
        <v>1965</v>
      </c>
      <c r="B31" s="310" t="s">
        <v>3242</v>
      </c>
      <c r="C31" s="310" t="s">
        <v>3243</v>
      </c>
      <c r="D31" s="321"/>
      <c r="E31" s="321"/>
      <c r="F31" s="326"/>
      <c r="G31" s="326"/>
    </row>
    <row r="32" spans="1:7">
      <c r="A32" s="312" t="s">
        <v>1967</v>
      </c>
      <c r="B32" s="312" t="s">
        <v>4268</v>
      </c>
      <c r="C32" s="313" t="s">
        <v>3662</v>
      </c>
      <c r="D32" s="764"/>
      <c r="E32" s="764" t="str">
        <f>+B31</f>
        <v>PAA140</v>
      </c>
      <c r="F32" s="327"/>
      <c r="G32" s="327"/>
    </row>
    <row r="33" spans="1:9">
      <c r="A33" s="760" t="s">
        <v>1965</v>
      </c>
      <c r="B33" s="310" t="s">
        <v>3244</v>
      </c>
      <c r="C33" s="310" t="s">
        <v>3245</v>
      </c>
      <c r="D33" s="321"/>
      <c r="E33" s="321"/>
      <c r="F33" s="326"/>
      <c r="G33" s="326"/>
    </row>
    <row r="34" spans="1:9">
      <c r="A34" s="312" t="s">
        <v>1967</v>
      </c>
      <c r="B34" s="312" t="s">
        <v>4269</v>
      </c>
      <c r="C34" s="313" t="s">
        <v>3663</v>
      </c>
      <c r="D34" s="764"/>
      <c r="E34" s="764" t="str">
        <f>+B33</f>
        <v>PAA150</v>
      </c>
      <c r="F34" s="327">
        <v>6517767.2000000002</v>
      </c>
      <c r="G34" s="327">
        <v>3642805.73</v>
      </c>
      <c r="I34" s="800"/>
    </row>
    <row r="35" spans="1:9">
      <c r="A35" s="760" t="s">
        <v>1965</v>
      </c>
      <c r="B35" s="310" t="s">
        <v>3246</v>
      </c>
      <c r="C35" s="310" t="s">
        <v>3247</v>
      </c>
      <c r="D35" s="321"/>
      <c r="E35" s="321"/>
      <c r="F35" s="326"/>
      <c r="G35" s="326"/>
    </row>
    <row r="36" spans="1:9">
      <c r="A36" s="312" t="s">
        <v>1967</v>
      </c>
      <c r="B36" s="312" t="s">
        <v>4270</v>
      </c>
      <c r="C36" s="313" t="s">
        <v>3664</v>
      </c>
      <c r="D36" s="764"/>
      <c r="E36" s="764" t="str">
        <f>+B35</f>
        <v>PAA160</v>
      </c>
      <c r="F36" s="327">
        <v>13931.15</v>
      </c>
      <c r="G36" s="327">
        <v>13931.15</v>
      </c>
    </row>
    <row r="37" spans="1:9">
      <c r="A37" s="760" t="s">
        <v>1963</v>
      </c>
      <c r="B37" s="310" t="s">
        <v>3248</v>
      </c>
      <c r="C37" s="310" t="s">
        <v>3249</v>
      </c>
      <c r="D37" s="321"/>
      <c r="E37" s="321"/>
      <c r="F37" s="326"/>
      <c r="G37" s="326"/>
    </row>
    <row r="38" spans="1:9">
      <c r="A38" s="760" t="s">
        <v>1965</v>
      </c>
      <c r="B38" s="310" t="s">
        <v>3250</v>
      </c>
      <c r="C38" s="310" t="s">
        <v>3251</v>
      </c>
      <c r="D38" s="321"/>
      <c r="E38" s="321"/>
      <c r="F38" s="326"/>
      <c r="G38" s="326"/>
    </row>
    <row r="39" spans="1:9">
      <c r="A39" s="312">
        <v>5</v>
      </c>
      <c r="B39" s="312" t="s">
        <v>4271</v>
      </c>
      <c r="C39" s="313" t="s">
        <v>3665</v>
      </c>
      <c r="D39" s="764"/>
      <c r="E39" s="764" t="str">
        <f>+B38</f>
        <v>PAA180</v>
      </c>
      <c r="F39" s="327"/>
      <c r="G39" s="327"/>
    </row>
    <row r="40" spans="1:9">
      <c r="A40" s="760" t="s">
        <v>1965</v>
      </c>
      <c r="B40" s="310" t="s">
        <v>3252</v>
      </c>
      <c r="C40" s="310" t="s">
        <v>3253</v>
      </c>
      <c r="D40" s="321"/>
      <c r="E40" s="321"/>
      <c r="F40" s="326"/>
      <c r="G40" s="326"/>
    </row>
    <row r="41" spans="1:9">
      <c r="A41" s="312" t="s">
        <v>1967</v>
      </c>
      <c r="B41" s="312" t="s">
        <v>4272</v>
      </c>
      <c r="C41" s="313" t="s">
        <v>4273</v>
      </c>
      <c r="D41" s="764"/>
      <c r="E41" s="764" t="str">
        <f>+B40</f>
        <v>PAA190</v>
      </c>
      <c r="F41" s="327"/>
      <c r="G41" s="327"/>
    </row>
    <row r="42" spans="1:9">
      <c r="A42" s="760" t="s">
        <v>1965</v>
      </c>
      <c r="B42" s="310" t="s">
        <v>3254</v>
      </c>
      <c r="C42" s="310" t="s">
        <v>3255</v>
      </c>
      <c r="D42" s="321"/>
      <c r="E42" s="321"/>
      <c r="F42" s="326"/>
      <c r="G42" s="326"/>
    </row>
    <row r="43" spans="1:9">
      <c r="A43" s="312" t="s">
        <v>1967</v>
      </c>
      <c r="B43" s="312" t="s">
        <v>4274</v>
      </c>
      <c r="C43" s="313" t="s">
        <v>3666</v>
      </c>
      <c r="D43" s="764"/>
      <c r="E43" s="764" t="str">
        <f>+B42</f>
        <v>PAA200</v>
      </c>
      <c r="F43" s="327"/>
      <c r="G43" s="327"/>
    </row>
    <row r="44" spans="1:9">
      <c r="A44" s="760" t="s">
        <v>1963</v>
      </c>
      <c r="B44" s="310" t="s">
        <v>3256</v>
      </c>
      <c r="C44" s="310" t="s">
        <v>3257</v>
      </c>
      <c r="D44" s="321"/>
      <c r="E44" s="321"/>
      <c r="F44" s="326"/>
      <c r="G44" s="326"/>
    </row>
    <row r="45" spans="1:9">
      <c r="A45" s="312" t="s">
        <v>1965</v>
      </c>
      <c r="B45" s="312" t="s">
        <v>4275</v>
      </c>
      <c r="C45" s="313" t="s">
        <v>3667</v>
      </c>
      <c r="D45" s="764"/>
      <c r="E45" s="764" t="str">
        <f>+B44</f>
        <v>PAA210</v>
      </c>
      <c r="F45" s="327">
        <v>0</v>
      </c>
      <c r="G45" s="327">
        <v>0</v>
      </c>
    </row>
    <row r="46" spans="1:9">
      <c r="A46" s="760" t="s">
        <v>1963</v>
      </c>
      <c r="B46" s="310" t="s">
        <v>3258</v>
      </c>
      <c r="C46" s="310" t="s">
        <v>3259</v>
      </c>
      <c r="D46" s="321"/>
      <c r="E46" s="321"/>
      <c r="F46" s="326"/>
      <c r="G46" s="326"/>
    </row>
    <row r="47" spans="1:9">
      <c r="A47" s="312" t="s">
        <v>1965</v>
      </c>
      <c r="B47" s="312" t="s">
        <v>4276</v>
      </c>
      <c r="C47" s="313" t="s">
        <v>3668</v>
      </c>
      <c r="D47" s="764"/>
      <c r="E47" s="764" t="str">
        <f>+B46</f>
        <v>PAA220</v>
      </c>
      <c r="F47" s="327">
        <f>+'Alim CE Ricavi'!E391</f>
        <v>847304.81000006199</v>
      </c>
      <c r="G47" s="327">
        <v>2874961.4699999094</v>
      </c>
    </row>
    <row r="48" spans="1:9">
      <c r="A48" s="760" t="s">
        <v>1960</v>
      </c>
      <c r="B48" s="310" t="s">
        <v>3260</v>
      </c>
      <c r="C48" s="310" t="s">
        <v>3261</v>
      </c>
      <c r="D48" s="321"/>
      <c r="E48" s="321"/>
      <c r="F48" s="326"/>
      <c r="G48" s="326"/>
    </row>
    <row r="49" spans="1:9">
      <c r="A49" s="760" t="s">
        <v>1963</v>
      </c>
      <c r="B49" s="310" t="s">
        <v>3262</v>
      </c>
      <c r="C49" s="310" t="s">
        <v>3263</v>
      </c>
      <c r="D49" s="321"/>
      <c r="E49" s="321"/>
      <c r="F49" s="326"/>
      <c r="G49" s="326"/>
    </row>
    <row r="50" spans="1:9">
      <c r="A50" s="312" t="s">
        <v>1965</v>
      </c>
      <c r="B50" s="312" t="s">
        <v>4277</v>
      </c>
      <c r="C50" s="313" t="s">
        <v>3669</v>
      </c>
      <c r="D50" s="764"/>
      <c r="E50" s="764" t="str">
        <f>+B49</f>
        <v>PBA000</v>
      </c>
      <c r="F50" s="327"/>
      <c r="G50" s="327"/>
    </row>
    <row r="51" spans="1:9">
      <c r="A51" s="760" t="s">
        <v>1963</v>
      </c>
      <c r="B51" s="310" t="s">
        <v>3264</v>
      </c>
      <c r="C51" s="310" t="s">
        <v>3265</v>
      </c>
      <c r="D51" s="321"/>
      <c r="E51" s="321"/>
      <c r="F51" s="326"/>
      <c r="G51" s="326"/>
    </row>
    <row r="52" spans="1:9">
      <c r="A52" s="760" t="s">
        <v>1965</v>
      </c>
      <c r="B52" s="310" t="s">
        <v>3266</v>
      </c>
      <c r="C52" s="310" t="s">
        <v>3267</v>
      </c>
      <c r="D52" s="321"/>
      <c r="E52" s="321"/>
      <c r="F52" s="326"/>
      <c r="G52" s="326"/>
    </row>
    <row r="53" spans="1:9">
      <c r="A53" s="312" t="s">
        <v>1967</v>
      </c>
      <c r="B53" s="312" t="s">
        <v>4278</v>
      </c>
      <c r="C53" s="313" t="s">
        <v>3670</v>
      </c>
      <c r="D53" s="764"/>
      <c r="E53" s="764" t="str">
        <f>+B52</f>
        <v>PBA020</v>
      </c>
      <c r="F53" s="327">
        <v>97531.72</v>
      </c>
      <c r="G53" s="327">
        <v>92391</v>
      </c>
    </row>
    <row r="54" spans="1:9">
      <c r="A54" s="760" t="s">
        <v>1965</v>
      </c>
      <c r="B54" s="310" t="s">
        <v>3268</v>
      </c>
      <c r="C54" s="310" t="s">
        <v>3269</v>
      </c>
      <c r="D54" s="321"/>
      <c r="E54" s="321"/>
      <c r="F54" s="326"/>
      <c r="G54" s="326"/>
    </row>
    <row r="55" spans="1:9">
      <c r="A55" s="312" t="s">
        <v>1967</v>
      </c>
      <c r="B55" s="312" t="s">
        <v>4279</v>
      </c>
      <c r="C55" s="313" t="s">
        <v>3671</v>
      </c>
      <c r="D55" s="764"/>
      <c r="E55" s="764" t="str">
        <f>+B54</f>
        <v>PBA030</v>
      </c>
      <c r="F55" s="327"/>
      <c r="G55" s="327"/>
    </row>
    <row r="56" spans="1:9">
      <c r="A56" s="760" t="s">
        <v>1965</v>
      </c>
      <c r="B56" s="310" t="s">
        <v>3270</v>
      </c>
      <c r="C56" s="310" t="s">
        <v>3271</v>
      </c>
      <c r="D56" s="321"/>
      <c r="E56" s="321"/>
      <c r="F56" s="326"/>
      <c r="G56" s="326"/>
    </row>
    <row r="57" spans="1:9">
      <c r="A57" s="312" t="s">
        <v>1967</v>
      </c>
      <c r="B57" s="312" t="s">
        <v>4280</v>
      </c>
      <c r="C57" s="313" t="s">
        <v>3672</v>
      </c>
      <c r="D57" s="764"/>
      <c r="E57" s="764" t="str">
        <f>+B56</f>
        <v>PBA040</v>
      </c>
      <c r="F57" s="327"/>
      <c r="G57" s="327"/>
    </row>
    <row r="58" spans="1:9">
      <c r="A58" s="760" t="s">
        <v>1965</v>
      </c>
      <c r="B58" s="310" t="s">
        <v>3272</v>
      </c>
      <c r="C58" s="310" t="s">
        <v>3273</v>
      </c>
      <c r="D58" s="321"/>
      <c r="E58" s="321"/>
      <c r="F58" s="326"/>
      <c r="G58" s="326"/>
    </row>
    <row r="59" spans="1:9">
      <c r="A59" s="312" t="s">
        <v>1967</v>
      </c>
      <c r="B59" s="312" t="s">
        <v>4281</v>
      </c>
      <c r="C59" s="313" t="s">
        <v>3673</v>
      </c>
      <c r="D59" s="764"/>
      <c r="E59" s="764" t="str">
        <f>+B58</f>
        <v>PBA050</v>
      </c>
      <c r="F59" s="327"/>
      <c r="G59" s="327"/>
    </row>
    <row r="60" spans="1:9">
      <c r="A60" s="760" t="s">
        <v>1965</v>
      </c>
      <c r="B60" s="310" t="s">
        <v>3274</v>
      </c>
      <c r="C60" s="310" t="s">
        <v>3275</v>
      </c>
      <c r="D60" s="321"/>
      <c r="E60" s="321"/>
      <c r="F60" s="326"/>
      <c r="G60" s="326"/>
    </row>
    <row r="61" spans="1:9">
      <c r="A61" s="312" t="s">
        <v>1967</v>
      </c>
      <c r="B61" s="312" t="s">
        <v>4282</v>
      </c>
      <c r="C61" s="313" t="s">
        <v>3674</v>
      </c>
      <c r="D61" s="764"/>
      <c r="E61" s="764" t="str">
        <f>+B60</f>
        <v>PBA051</v>
      </c>
      <c r="F61" s="327">
        <v>46299630.600000001</v>
      </c>
      <c r="G61" s="327">
        <v>48835650.82</v>
      </c>
    </row>
    <row r="62" spans="1:9">
      <c r="A62" s="760" t="s">
        <v>1965</v>
      </c>
      <c r="B62" s="310" t="s">
        <v>3276</v>
      </c>
      <c r="C62" s="310" t="s">
        <v>3277</v>
      </c>
      <c r="D62" s="321"/>
      <c r="E62" s="321"/>
      <c r="F62" s="326"/>
      <c r="G62" s="326"/>
    </row>
    <row r="63" spans="1:9">
      <c r="A63" s="312" t="s">
        <v>1967</v>
      </c>
      <c r="B63" s="312" t="s">
        <v>4283</v>
      </c>
      <c r="C63" s="313" t="s">
        <v>3675</v>
      </c>
      <c r="D63" s="764"/>
      <c r="E63" s="764" t="str">
        <f>+B62</f>
        <v>PBA052</v>
      </c>
      <c r="F63" s="327">
        <v>930058.45</v>
      </c>
      <c r="G63" s="327">
        <v>1175940.33</v>
      </c>
      <c r="I63" s="800"/>
    </row>
    <row r="64" spans="1:9">
      <c r="A64" s="760" t="s">
        <v>1965</v>
      </c>
      <c r="B64" s="310" t="s">
        <v>3278</v>
      </c>
      <c r="C64" s="310" t="s">
        <v>3279</v>
      </c>
      <c r="D64" s="321"/>
      <c r="E64" s="321"/>
      <c r="F64" s="326"/>
      <c r="G64" s="326"/>
    </row>
    <row r="65" spans="1:7">
      <c r="A65" s="312">
        <v>5</v>
      </c>
      <c r="B65" s="312" t="s">
        <v>4284</v>
      </c>
      <c r="C65" s="313" t="s">
        <v>3676</v>
      </c>
      <c r="D65" s="764"/>
      <c r="E65" s="764" t="str">
        <f>+B64</f>
        <v>PBA060</v>
      </c>
      <c r="F65" s="327"/>
      <c r="G65" s="327"/>
    </row>
    <row r="66" spans="1:7">
      <c r="A66" s="312">
        <v>5</v>
      </c>
      <c r="B66" s="312" t="s">
        <v>4285</v>
      </c>
      <c r="C66" s="313" t="s">
        <v>3677</v>
      </c>
      <c r="D66" s="764"/>
      <c r="E66" s="764" t="str">
        <f>+E65</f>
        <v>PBA060</v>
      </c>
      <c r="F66" s="327"/>
      <c r="G66" s="327"/>
    </row>
    <row r="67" spans="1:7">
      <c r="A67" s="312">
        <v>5</v>
      </c>
      <c r="B67" s="312" t="s">
        <v>4286</v>
      </c>
      <c r="C67" s="313" t="s">
        <v>3678</v>
      </c>
      <c r="D67" s="764"/>
      <c r="E67" s="764" t="str">
        <f>+E66</f>
        <v>PBA060</v>
      </c>
      <c r="F67" s="327"/>
      <c r="G67" s="327"/>
    </row>
    <row r="68" spans="1:7">
      <c r="A68" s="760" t="s">
        <v>1963</v>
      </c>
      <c r="B68" s="310" t="s">
        <v>3280</v>
      </c>
      <c r="C68" s="310" t="s">
        <v>3281</v>
      </c>
      <c r="D68" s="321"/>
      <c r="E68" s="321"/>
      <c r="F68" s="326"/>
      <c r="G68" s="326"/>
    </row>
    <row r="69" spans="1:7">
      <c r="A69" s="760" t="s">
        <v>1965</v>
      </c>
      <c r="B69" s="310" t="s">
        <v>3282</v>
      </c>
      <c r="C69" s="310" t="s">
        <v>3283</v>
      </c>
      <c r="D69" s="321"/>
      <c r="E69" s="321"/>
      <c r="F69" s="326"/>
      <c r="G69" s="326"/>
    </row>
    <row r="70" spans="1:7">
      <c r="A70" s="312" t="s">
        <v>1967</v>
      </c>
      <c r="B70" s="312" t="s">
        <v>4287</v>
      </c>
      <c r="C70" s="313" t="s">
        <v>3679</v>
      </c>
      <c r="D70" s="764"/>
      <c r="E70" s="764" t="str">
        <f>+B69</f>
        <v>PBA080</v>
      </c>
      <c r="F70" s="327"/>
      <c r="G70" s="327"/>
    </row>
    <row r="71" spans="1:7">
      <c r="A71" s="760" t="s">
        <v>1965</v>
      </c>
      <c r="B71" s="310" t="s">
        <v>3284</v>
      </c>
      <c r="C71" s="310" t="s">
        <v>3285</v>
      </c>
      <c r="D71" s="321"/>
      <c r="E71" s="321"/>
      <c r="F71" s="326"/>
      <c r="G71" s="326"/>
    </row>
    <row r="72" spans="1:7">
      <c r="A72" s="312" t="s">
        <v>1967</v>
      </c>
      <c r="B72" s="312" t="s">
        <v>4288</v>
      </c>
      <c r="C72" s="313" t="s">
        <v>3680</v>
      </c>
      <c r="D72" s="764"/>
      <c r="E72" s="764" t="str">
        <f>+B71</f>
        <v>PBA090</v>
      </c>
      <c r="F72" s="327"/>
      <c r="G72" s="327"/>
    </row>
    <row r="73" spans="1:7">
      <c r="A73" s="760" t="s">
        <v>1965</v>
      </c>
      <c r="B73" s="310" t="s">
        <v>3286</v>
      </c>
      <c r="C73" s="310" t="s">
        <v>3287</v>
      </c>
      <c r="D73" s="321"/>
      <c r="E73" s="321"/>
      <c r="F73" s="326"/>
      <c r="G73" s="326"/>
    </row>
    <row r="74" spans="1:7">
      <c r="A74" s="312" t="s">
        <v>1967</v>
      </c>
      <c r="B74" s="312" t="s">
        <v>4289</v>
      </c>
      <c r="C74" s="313" t="s">
        <v>3681</v>
      </c>
      <c r="D74" s="764"/>
      <c r="E74" s="764" t="str">
        <f>+B73</f>
        <v>PBA100</v>
      </c>
      <c r="F74" s="327"/>
      <c r="G74" s="327"/>
    </row>
    <row r="75" spans="1:7">
      <c r="A75" s="760" t="s">
        <v>1965</v>
      </c>
      <c r="B75" s="310" t="s">
        <v>3288</v>
      </c>
      <c r="C75" s="310" t="s">
        <v>3289</v>
      </c>
      <c r="D75" s="321"/>
      <c r="E75" s="321"/>
      <c r="F75" s="326"/>
      <c r="G75" s="326"/>
    </row>
    <row r="76" spans="1:7">
      <c r="A76" s="312" t="s">
        <v>1967</v>
      </c>
      <c r="B76" s="312" t="s">
        <v>4290</v>
      </c>
      <c r="C76" s="313" t="s">
        <v>3682</v>
      </c>
      <c r="D76" s="764"/>
      <c r="E76" s="764" t="str">
        <f>+B75</f>
        <v>PBA110</v>
      </c>
      <c r="F76" s="327"/>
      <c r="G76" s="327"/>
    </row>
    <row r="77" spans="1:7">
      <c r="A77" s="760" t="s">
        <v>1965</v>
      </c>
      <c r="B77" s="310" t="s">
        <v>3290</v>
      </c>
      <c r="C77" s="310" t="s">
        <v>3291</v>
      </c>
      <c r="D77" s="321"/>
      <c r="E77" s="321"/>
      <c r="F77" s="326"/>
      <c r="G77" s="326"/>
    </row>
    <row r="78" spans="1:7">
      <c r="A78" s="312" t="s">
        <v>1967</v>
      </c>
      <c r="B78" s="312" t="s">
        <v>4291</v>
      </c>
      <c r="C78" s="313" t="s">
        <v>3683</v>
      </c>
      <c r="D78" s="764"/>
      <c r="E78" s="764" t="str">
        <f>+B77</f>
        <v>PBA120</v>
      </c>
      <c r="F78" s="327"/>
      <c r="G78" s="327"/>
    </row>
    <row r="79" spans="1:7">
      <c r="A79" s="760" t="s">
        <v>1965</v>
      </c>
      <c r="B79" s="310" t="s">
        <v>3292</v>
      </c>
      <c r="C79" s="310" t="s">
        <v>3293</v>
      </c>
      <c r="D79" s="321"/>
      <c r="E79" s="321"/>
      <c r="F79" s="326"/>
      <c r="G79" s="326"/>
    </row>
    <row r="80" spans="1:7">
      <c r="A80" s="312" t="s">
        <v>1967</v>
      </c>
      <c r="B80" s="312" t="s">
        <v>4292</v>
      </c>
      <c r="C80" s="313" t="s">
        <v>3684</v>
      </c>
      <c r="D80" s="764"/>
      <c r="E80" s="764" t="str">
        <f>+B79</f>
        <v>PBA130</v>
      </c>
      <c r="F80" s="327"/>
      <c r="G80" s="327"/>
    </row>
    <row r="81" spans="1:9">
      <c r="A81" s="760" t="s">
        <v>1965</v>
      </c>
      <c r="B81" s="310" t="s">
        <v>3294</v>
      </c>
      <c r="C81" s="310" t="s">
        <v>3295</v>
      </c>
      <c r="D81" s="321"/>
      <c r="E81" s="321"/>
      <c r="F81" s="326"/>
      <c r="G81" s="326"/>
    </row>
    <row r="82" spans="1:9">
      <c r="A82" s="312" t="s">
        <v>1967</v>
      </c>
      <c r="B82" s="312" t="s">
        <v>4293</v>
      </c>
      <c r="C82" s="313" t="s">
        <v>3685</v>
      </c>
      <c r="D82" s="764"/>
      <c r="E82" s="764" t="str">
        <f>+B81</f>
        <v>PBA140</v>
      </c>
      <c r="F82" s="327"/>
      <c r="G82" s="327"/>
    </row>
    <row r="83" spans="1:9" ht="25.5">
      <c r="A83" s="760" t="s">
        <v>1965</v>
      </c>
      <c r="B83" s="310" t="s">
        <v>3296</v>
      </c>
      <c r="C83" s="310" t="s">
        <v>3297</v>
      </c>
      <c r="D83" s="321"/>
      <c r="E83" s="321"/>
      <c r="F83" s="326"/>
      <c r="G83" s="326"/>
    </row>
    <row r="84" spans="1:9" ht="24">
      <c r="A84" s="312" t="s">
        <v>1967</v>
      </c>
      <c r="B84" s="312" t="s">
        <v>4294</v>
      </c>
      <c r="C84" s="313" t="s">
        <v>3686</v>
      </c>
      <c r="D84" s="764"/>
      <c r="E84" s="764" t="str">
        <f>+B83</f>
        <v>PBA141</v>
      </c>
      <c r="F84" s="327"/>
      <c r="G84" s="327"/>
    </row>
    <row r="85" spans="1:9">
      <c r="A85" s="760" t="s">
        <v>1963</v>
      </c>
      <c r="B85" s="310" t="s">
        <v>3298</v>
      </c>
      <c r="C85" s="310" t="s">
        <v>3299</v>
      </c>
      <c r="D85" s="321"/>
      <c r="E85" s="321"/>
      <c r="F85" s="326"/>
      <c r="G85" s="326"/>
    </row>
    <row r="86" spans="1:9" ht="25.5">
      <c r="A86" s="760" t="s">
        <v>1965</v>
      </c>
      <c r="B86" s="310" t="s">
        <v>3300</v>
      </c>
      <c r="C86" s="310" t="s">
        <v>4295</v>
      </c>
      <c r="D86" s="321"/>
      <c r="E86" s="321"/>
      <c r="F86" s="326"/>
      <c r="G86" s="326"/>
    </row>
    <row r="87" spans="1:9">
      <c r="A87" s="312" t="s">
        <v>1967</v>
      </c>
      <c r="B87" s="312" t="s">
        <v>4296</v>
      </c>
      <c r="C87" s="313" t="s">
        <v>4297</v>
      </c>
      <c r="D87" s="764"/>
      <c r="E87" s="764" t="str">
        <f>+B86</f>
        <v>PBA151</v>
      </c>
      <c r="F87" s="327">
        <v>5139033.76</v>
      </c>
      <c r="G87" s="327">
        <v>16003531.369999999</v>
      </c>
    </row>
    <row r="88" spans="1:9">
      <c r="A88" s="760" t="s">
        <v>1965</v>
      </c>
      <c r="B88" s="310" t="s">
        <v>3302</v>
      </c>
      <c r="C88" s="310" t="s">
        <v>3303</v>
      </c>
      <c r="D88" s="321"/>
      <c r="E88" s="321"/>
      <c r="F88" s="326"/>
      <c r="G88" s="326"/>
    </row>
    <row r="89" spans="1:9">
      <c r="A89" s="312" t="s">
        <v>1967</v>
      </c>
      <c r="B89" s="312" t="s">
        <v>4298</v>
      </c>
      <c r="C89" s="313" t="s">
        <v>3687</v>
      </c>
      <c r="D89" s="764"/>
      <c r="E89" s="764" t="str">
        <f>+B88</f>
        <v>PBA160</v>
      </c>
      <c r="F89" s="327"/>
      <c r="G89" s="327"/>
    </row>
    <row r="90" spans="1:9">
      <c r="A90" s="760" t="s">
        <v>1965</v>
      </c>
      <c r="B90" s="310" t="s">
        <v>3304</v>
      </c>
      <c r="C90" s="310" t="s">
        <v>3305</v>
      </c>
      <c r="D90" s="321"/>
      <c r="E90" s="321"/>
      <c r="F90" s="326"/>
      <c r="G90" s="326"/>
    </row>
    <row r="91" spans="1:9">
      <c r="A91" s="312" t="s">
        <v>1967</v>
      </c>
      <c r="B91" s="312" t="s">
        <v>4299</v>
      </c>
      <c r="C91" s="313" t="s">
        <v>3688</v>
      </c>
      <c r="D91" s="764"/>
      <c r="E91" s="764" t="str">
        <f>+B90</f>
        <v>PBA170</v>
      </c>
      <c r="F91" s="327">
        <v>32897080.34</v>
      </c>
      <c r="G91" s="327">
        <v>2975475.63</v>
      </c>
      <c r="I91" s="801"/>
    </row>
    <row r="92" spans="1:9">
      <c r="A92" s="760" t="s">
        <v>1965</v>
      </c>
      <c r="B92" s="310" t="s">
        <v>3306</v>
      </c>
      <c r="C92" s="310" t="s">
        <v>3307</v>
      </c>
      <c r="D92" s="321"/>
      <c r="E92" s="321"/>
      <c r="F92" s="326"/>
      <c r="G92" s="326"/>
    </row>
    <row r="93" spans="1:9">
      <c r="A93" s="312" t="s">
        <v>1967</v>
      </c>
      <c r="B93" s="312" t="s">
        <v>4300</v>
      </c>
      <c r="C93" s="313" t="s">
        <v>3689</v>
      </c>
      <c r="D93" s="764"/>
      <c r="E93" s="764" t="str">
        <f>+B92</f>
        <v>PBA180</v>
      </c>
      <c r="F93" s="327"/>
      <c r="G93" s="327"/>
    </row>
    <row r="94" spans="1:9">
      <c r="A94" s="760" t="s">
        <v>1965</v>
      </c>
      <c r="B94" s="310" t="s">
        <v>3308</v>
      </c>
      <c r="C94" s="310" t="s">
        <v>3309</v>
      </c>
      <c r="D94" s="321"/>
      <c r="E94" s="321"/>
      <c r="F94" s="326"/>
      <c r="G94" s="326"/>
    </row>
    <row r="95" spans="1:9">
      <c r="A95" s="312">
        <v>5</v>
      </c>
      <c r="B95" s="312" t="s">
        <v>4301</v>
      </c>
      <c r="C95" s="313" t="s">
        <v>3690</v>
      </c>
      <c r="D95" s="764"/>
      <c r="E95" s="764" t="str">
        <f>+B94</f>
        <v>PBA190</v>
      </c>
      <c r="F95" s="327"/>
      <c r="G95" s="327"/>
    </row>
    <row r="96" spans="1:9">
      <c r="A96" s="312">
        <v>5</v>
      </c>
      <c r="B96" s="312" t="s">
        <v>4302</v>
      </c>
      <c r="C96" s="313" t="s">
        <v>3691</v>
      </c>
      <c r="D96" s="764"/>
      <c r="E96" s="764" t="str">
        <f>+E95</f>
        <v>PBA190</v>
      </c>
      <c r="F96" s="327">
        <v>289542.05</v>
      </c>
      <c r="G96" s="327">
        <v>182973.47</v>
      </c>
    </row>
    <row r="97" spans="1:9">
      <c r="A97" s="760" t="s">
        <v>1963</v>
      </c>
      <c r="B97" s="310" t="s">
        <v>3310</v>
      </c>
      <c r="C97" s="310" t="s">
        <v>3311</v>
      </c>
      <c r="D97" s="321"/>
      <c r="E97" s="321"/>
      <c r="F97" s="326"/>
      <c r="G97" s="326"/>
    </row>
    <row r="98" spans="1:9">
      <c r="A98" s="760" t="s">
        <v>1965</v>
      </c>
      <c r="B98" s="310" t="s">
        <v>3312</v>
      </c>
      <c r="C98" s="310" t="s">
        <v>3313</v>
      </c>
      <c r="D98" s="321"/>
      <c r="E98" s="321"/>
      <c r="F98" s="326"/>
      <c r="G98" s="326"/>
    </row>
    <row r="99" spans="1:9">
      <c r="A99" s="312" t="s">
        <v>1967</v>
      </c>
      <c r="B99" s="312" t="s">
        <v>4303</v>
      </c>
      <c r="C99" s="313" t="s">
        <v>3692</v>
      </c>
      <c r="D99" s="764"/>
      <c r="E99" s="764" t="str">
        <f>+B98</f>
        <v>PBA210</v>
      </c>
      <c r="F99" s="327"/>
      <c r="G99" s="327"/>
    </row>
    <row r="100" spans="1:9">
      <c r="A100" s="760" t="s">
        <v>1965</v>
      </c>
      <c r="B100" s="310" t="s">
        <v>3314</v>
      </c>
      <c r="C100" s="310" t="s">
        <v>3315</v>
      </c>
      <c r="D100" s="321"/>
      <c r="E100" s="321"/>
      <c r="F100" s="326"/>
      <c r="G100" s="326"/>
    </row>
    <row r="101" spans="1:9">
      <c r="A101" s="760" t="s">
        <v>1967</v>
      </c>
      <c r="B101" s="310" t="s">
        <v>3316</v>
      </c>
      <c r="C101" s="310" t="s">
        <v>4304</v>
      </c>
      <c r="D101" s="321"/>
      <c r="E101" s="321"/>
      <c r="F101" s="326"/>
      <c r="G101" s="326"/>
    </row>
    <row r="102" spans="1:9">
      <c r="A102" s="312" t="s">
        <v>1969</v>
      </c>
      <c r="B102" s="312" t="s">
        <v>4305</v>
      </c>
      <c r="C102" s="313" t="s">
        <v>4306</v>
      </c>
      <c r="D102" s="764"/>
      <c r="E102" s="764" t="str">
        <f>+B101</f>
        <v>PBA230</v>
      </c>
      <c r="F102" s="327">
        <f>2220738.63+112049.92</f>
        <v>2332788.5499999998</v>
      </c>
      <c r="G102" s="327">
        <v>2419994.2799999998</v>
      </c>
    </row>
    <row r="103" spans="1:9">
      <c r="A103" s="760" t="s">
        <v>1967</v>
      </c>
      <c r="B103" s="310" t="s">
        <v>3318</v>
      </c>
      <c r="C103" s="310" t="s">
        <v>3319</v>
      </c>
      <c r="D103" s="321"/>
      <c r="E103" s="321"/>
      <c r="F103" s="326"/>
      <c r="G103" s="326"/>
    </row>
    <row r="104" spans="1:9">
      <c r="A104" s="312" t="s">
        <v>1969</v>
      </c>
      <c r="B104" s="312" t="s">
        <v>4307</v>
      </c>
      <c r="C104" s="313" t="s">
        <v>3693</v>
      </c>
      <c r="D104" s="764"/>
      <c r="E104" s="764" t="str">
        <f>+B103</f>
        <v>PBA240</v>
      </c>
      <c r="F104" s="327"/>
      <c r="G104" s="327"/>
    </row>
    <row r="105" spans="1:9">
      <c r="A105" s="760" t="s">
        <v>1967</v>
      </c>
      <c r="B105" s="310" t="s">
        <v>3320</v>
      </c>
      <c r="C105" s="310" t="s">
        <v>3321</v>
      </c>
      <c r="D105" s="321"/>
      <c r="E105" s="321"/>
      <c r="F105" s="326"/>
      <c r="G105" s="326"/>
    </row>
    <row r="106" spans="1:9">
      <c r="A106" s="312" t="s">
        <v>1969</v>
      </c>
      <c r="B106" s="312" t="s">
        <v>4308</v>
      </c>
      <c r="C106" s="313" t="s">
        <v>3694</v>
      </c>
      <c r="D106" s="764"/>
      <c r="E106" s="764" t="str">
        <f>+B105</f>
        <v>PBA250</v>
      </c>
      <c r="F106" s="327"/>
      <c r="G106" s="327"/>
    </row>
    <row r="107" spans="1:9">
      <c r="A107" s="760" t="s">
        <v>1965</v>
      </c>
      <c r="B107" s="310" t="s">
        <v>3322</v>
      </c>
      <c r="C107" s="310" t="s">
        <v>3323</v>
      </c>
      <c r="D107" s="321"/>
      <c r="E107" s="321"/>
      <c r="F107" s="326"/>
      <c r="G107" s="326"/>
    </row>
    <row r="108" spans="1:9">
      <c r="A108" s="312">
        <v>5</v>
      </c>
      <c r="B108" s="312" t="s">
        <v>4309</v>
      </c>
      <c r="C108" s="313" t="s">
        <v>3695</v>
      </c>
      <c r="D108" s="764"/>
      <c r="E108" s="764" t="str">
        <f>+B107</f>
        <v>PBA260</v>
      </c>
      <c r="F108" s="327"/>
      <c r="G108" s="327"/>
    </row>
    <row r="109" spans="1:9">
      <c r="A109" s="312">
        <v>5</v>
      </c>
      <c r="B109" s="312" t="s">
        <v>4310</v>
      </c>
      <c r="C109" s="313" t="s">
        <v>3696</v>
      </c>
      <c r="D109" s="764"/>
      <c r="E109" s="764" t="str">
        <f>+E108</f>
        <v>PBA260</v>
      </c>
      <c r="F109" s="327">
        <v>525113.68999999994</v>
      </c>
      <c r="G109" s="327">
        <v>525113.68999999994</v>
      </c>
    </row>
    <row r="110" spans="1:9">
      <c r="A110" s="760" t="s">
        <v>1965</v>
      </c>
      <c r="B110" s="310" t="s">
        <v>3324</v>
      </c>
      <c r="C110" s="310" t="s">
        <v>4311</v>
      </c>
      <c r="D110" s="321"/>
      <c r="E110" s="321"/>
      <c r="F110" s="326"/>
      <c r="G110" s="326"/>
    </row>
    <row r="111" spans="1:9">
      <c r="A111" s="312" t="s">
        <v>1967</v>
      </c>
      <c r="B111" s="312" t="s">
        <v>4312</v>
      </c>
      <c r="C111" s="313" t="s">
        <v>3697</v>
      </c>
      <c r="D111" s="764"/>
      <c r="E111" s="764" t="str">
        <f>+B110</f>
        <v>PBA270</v>
      </c>
      <c r="F111" s="327">
        <v>250950.14</v>
      </c>
      <c r="G111" s="327">
        <v>3449.65</v>
      </c>
      <c r="I111" s="800"/>
    </row>
    <row r="112" spans="1:9">
      <c r="A112" s="760" t="s">
        <v>1960</v>
      </c>
      <c r="B112" s="310" t="s">
        <v>3326</v>
      </c>
      <c r="C112" s="310" t="s">
        <v>3327</v>
      </c>
      <c r="D112" s="321"/>
      <c r="E112" s="321"/>
      <c r="F112" s="326"/>
      <c r="G112" s="326"/>
    </row>
    <row r="113" spans="1:7">
      <c r="A113" s="760" t="s">
        <v>1963</v>
      </c>
      <c r="B113" s="310" t="s">
        <v>3328</v>
      </c>
      <c r="C113" s="310" t="s">
        <v>3329</v>
      </c>
      <c r="D113" s="321"/>
      <c r="E113" s="321"/>
      <c r="F113" s="326"/>
      <c r="G113" s="326"/>
    </row>
    <row r="114" spans="1:7">
      <c r="A114" s="312" t="s">
        <v>1965</v>
      </c>
      <c r="B114" s="312" t="s">
        <v>4313</v>
      </c>
      <c r="C114" s="313" t="s">
        <v>3698</v>
      </c>
      <c r="D114" s="764"/>
      <c r="E114" s="764" t="str">
        <f>+B113</f>
        <v>PCA000</v>
      </c>
      <c r="F114" s="327"/>
      <c r="G114" s="327"/>
    </row>
    <row r="115" spans="1:7">
      <c r="A115" s="760" t="s">
        <v>1963</v>
      </c>
      <c r="B115" s="310" t="s">
        <v>3330</v>
      </c>
      <c r="C115" s="310" t="s">
        <v>3331</v>
      </c>
      <c r="D115" s="321"/>
      <c r="E115" s="321"/>
      <c r="F115" s="326"/>
      <c r="G115" s="326"/>
    </row>
    <row r="116" spans="1:7">
      <c r="A116" s="312" t="s">
        <v>1965</v>
      </c>
      <c r="B116" s="312" t="s">
        <v>4314</v>
      </c>
      <c r="C116" s="313" t="s">
        <v>3699</v>
      </c>
      <c r="D116" s="764"/>
      <c r="E116" s="764" t="str">
        <f>+B115</f>
        <v>PCA010</v>
      </c>
      <c r="F116" s="327"/>
      <c r="G116" s="327"/>
    </row>
    <row r="117" spans="1:7">
      <c r="A117" s="760" t="s">
        <v>1963</v>
      </c>
      <c r="B117" s="310" t="s">
        <v>3332</v>
      </c>
      <c r="C117" s="310" t="s">
        <v>4315</v>
      </c>
      <c r="D117" s="321"/>
      <c r="E117" s="321"/>
      <c r="F117" s="326"/>
      <c r="G117" s="326"/>
    </row>
    <row r="118" spans="1:7">
      <c r="A118" s="312" t="s">
        <v>1965</v>
      </c>
      <c r="B118" s="312" t="s">
        <v>4316</v>
      </c>
      <c r="C118" s="313" t="s">
        <v>3700</v>
      </c>
      <c r="D118" s="764"/>
      <c r="E118" s="764" t="str">
        <f>+B117</f>
        <v>PCA020</v>
      </c>
      <c r="F118" s="327"/>
      <c r="G118" s="327"/>
    </row>
    <row r="119" spans="1:7">
      <c r="A119" s="760" t="s">
        <v>1960</v>
      </c>
      <c r="B119" s="310" t="s">
        <v>3334</v>
      </c>
      <c r="C119" s="310" t="s">
        <v>3335</v>
      </c>
      <c r="D119" s="321"/>
      <c r="E119" s="321"/>
      <c r="F119" s="326"/>
      <c r="G119" s="326"/>
    </row>
    <row r="120" spans="1:7">
      <c r="A120" s="760" t="s">
        <v>1963</v>
      </c>
      <c r="B120" s="310" t="s">
        <v>3336</v>
      </c>
      <c r="C120" s="310" t="s">
        <v>3337</v>
      </c>
      <c r="D120" s="321"/>
      <c r="E120" s="321"/>
      <c r="F120" s="326"/>
      <c r="G120" s="326"/>
    </row>
    <row r="121" spans="1:7">
      <c r="A121" s="312" t="s">
        <v>1965</v>
      </c>
      <c r="B121" s="312" t="s">
        <v>4317</v>
      </c>
      <c r="C121" s="313" t="s">
        <v>3701</v>
      </c>
      <c r="D121" s="764"/>
      <c r="E121" s="764" t="str">
        <f>+B120</f>
        <v>PDA000</v>
      </c>
      <c r="F121" s="327"/>
      <c r="G121" s="327"/>
    </row>
    <row r="122" spans="1:7">
      <c r="A122" s="760" t="s">
        <v>1963</v>
      </c>
      <c r="B122" s="310" t="s">
        <v>3338</v>
      </c>
      <c r="C122" s="310" t="s">
        <v>3339</v>
      </c>
      <c r="D122" s="321"/>
      <c r="E122" s="321"/>
      <c r="F122" s="326"/>
      <c r="G122" s="326"/>
    </row>
    <row r="123" spans="1:7">
      <c r="A123" s="760" t="s">
        <v>1965</v>
      </c>
      <c r="B123" s="310" t="s">
        <v>3340</v>
      </c>
      <c r="C123" s="310" t="s">
        <v>3341</v>
      </c>
      <c r="D123" s="321"/>
      <c r="E123" s="321"/>
      <c r="F123" s="326"/>
      <c r="G123" s="326"/>
    </row>
    <row r="124" spans="1:7">
      <c r="A124" s="312" t="s">
        <v>1967</v>
      </c>
      <c r="B124" s="312" t="s">
        <v>4318</v>
      </c>
      <c r="C124" s="313" t="s">
        <v>3702</v>
      </c>
      <c r="D124" s="764"/>
      <c r="E124" s="764" t="str">
        <f>+B123</f>
        <v>PDA020</v>
      </c>
      <c r="F124" s="327"/>
      <c r="G124" s="327"/>
    </row>
    <row r="125" spans="1:7">
      <c r="A125" s="760" t="s">
        <v>1965</v>
      </c>
      <c r="B125" s="310" t="s">
        <v>3342</v>
      </c>
      <c r="C125" s="310" t="s">
        <v>3343</v>
      </c>
      <c r="D125" s="321"/>
      <c r="E125" s="321"/>
      <c r="F125" s="326"/>
      <c r="G125" s="326"/>
    </row>
    <row r="126" spans="1:7">
      <c r="A126" s="312" t="s">
        <v>1967</v>
      </c>
      <c r="B126" s="312" t="s">
        <v>4319</v>
      </c>
      <c r="C126" s="313" t="s">
        <v>3703</v>
      </c>
      <c r="D126" s="764"/>
      <c r="E126" s="764" t="str">
        <f>+B125</f>
        <v>PDA030</v>
      </c>
      <c r="F126" s="327"/>
      <c r="G126" s="327"/>
    </row>
    <row r="127" spans="1:7">
      <c r="A127" s="760" t="s">
        <v>1965</v>
      </c>
      <c r="B127" s="310" t="s">
        <v>3344</v>
      </c>
      <c r="C127" s="310" t="s">
        <v>3345</v>
      </c>
      <c r="D127" s="321"/>
      <c r="E127" s="321"/>
      <c r="F127" s="326"/>
      <c r="G127" s="326"/>
    </row>
    <row r="128" spans="1:7">
      <c r="A128" s="312" t="s">
        <v>1967</v>
      </c>
      <c r="B128" s="312" t="s">
        <v>4320</v>
      </c>
      <c r="C128" s="313" t="s">
        <v>3704</v>
      </c>
      <c r="D128" s="764"/>
      <c r="E128" s="764" t="str">
        <f>+B127</f>
        <v>PDA040</v>
      </c>
      <c r="F128" s="327"/>
      <c r="G128" s="327"/>
    </row>
    <row r="129" spans="1:7">
      <c r="A129" s="760" t="s">
        <v>1965</v>
      </c>
      <c r="B129" s="310" t="s">
        <v>3346</v>
      </c>
      <c r="C129" s="310" t="s">
        <v>3347</v>
      </c>
      <c r="D129" s="321"/>
      <c r="E129" s="321"/>
      <c r="F129" s="326"/>
      <c r="G129" s="326"/>
    </row>
    <row r="130" spans="1:7">
      <c r="A130" s="312" t="s">
        <v>1967</v>
      </c>
      <c r="B130" s="312" t="s">
        <v>4321</v>
      </c>
      <c r="C130" s="313" t="s">
        <v>3705</v>
      </c>
      <c r="D130" s="764"/>
      <c r="E130" s="764" t="str">
        <f>+B129</f>
        <v>PDA050</v>
      </c>
      <c r="F130" s="327"/>
      <c r="G130" s="327"/>
    </row>
    <row r="131" spans="1:7">
      <c r="A131" s="760" t="s">
        <v>1965</v>
      </c>
      <c r="B131" s="310" t="s">
        <v>3348</v>
      </c>
      <c r="C131" s="310" t="s">
        <v>3349</v>
      </c>
      <c r="D131" s="321"/>
      <c r="E131" s="321"/>
      <c r="F131" s="326"/>
      <c r="G131" s="326"/>
    </row>
    <row r="132" spans="1:7">
      <c r="A132" s="312">
        <v>5</v>
      </c>
      <c r="B132" s="312" t="s">
        <v>4322</v>
      </c>
      <c r="C132" s="313" t="s">
        <v>4323</v>
      </c>
      <c r="D132" s="764"/>
      <c r="E132" s="764" t="str">
        <f>+B131</f>
        <v>PDA060</v>
      </c>
      <c r="F132" s="327"/>
      <c r="G132" s="327"/>
    </row>
    <row r="133" spans="1:7">
      <c r="A133" s="312">
        <v>5</v>
      </c>
      <c r="B133" s="312" t="s">
        <v>4324</v>
      </c>
      <c r="C133" s="313" t="s">
        <v>3706</v>
      </c>
      <c r="D133" s="764"/>
      <c r="E133" s="764" t="str">
        <f>+E132</f>
        <v>PDA060</v>
      </c>
      <c r="F133" s="327">
        <v>7746.84</v>
      </c>
      <c r="G133" s="327">
        <v>7746.84</v>
      </c>
    </row>
    <row r="134" spans="1:7">
      <c r="A134" s="312">
        <v>5</v>
      </c>
      <c r="B134" s="312" t="s">
        <v>4325</v>
      </c>
      <c r="C134" s="313" t="s">
        <v>4326</v>
      </c>
      <c r="D134" s="764"/>
      <c r="E134" s="764" t="str">
        <f t="shared" ref="E134:E135" si="0">+E133</f>
        <v>PDA060</v>
      </c>
      <c r="F134" s="327"/>
      <c r="G134" s="327"/>
    </row>
    <row r="135" spans="1:7">
      <c r="A135" s="312">
        <v>5</v>
      </c>
      <c r="B135" s="312" t="s">
        <v>4327</v>
      </c>
      <c r="C135" s="313" t="s">
        <v>4328</v>
      </c>
      <c r="D135" s="764"/>
      <c r="E135" s="764" t="str">
        <f t="shared" si="0"/>
        <v>PDA060</v>
      </c>
      <c r="F135" s="327"/>
      <c r="G135" s="327"/>
    </row>
    <row r="136" spans="1:7">
      <c r="A136" s="760" t="s">
        <v>1963</v>
      </c>
      <c r="B136" s="310" t="s">
        <v>3350</v>
      </c>
      <c r="C136" s="310" t="s">
        <v>3351</v>
      </c>
      <c r="D136" s="321"/>
      <c r="E136" s="321"/>
      <c r="F136" s="326"/>
      <c r="G136" s="326"/>
    </row>
    <row r="137" spans="1:7">
      <c r="A137" s="760" t="s">
        <v>1965</v>
      </c>
      <c r="B137" s="310" t="s">
        <v>3352</v>
      </c>
      <c r="C137" s="310" t="s">
        <v>3353</v>
      </c>
      <c r="D137" s="321"/>
      <c r="E137" s="321"/>
      <c r="F137" s="326"/>
      <c r="G137" s="326"/>
    </row>
    <row r="138" spans="1:7">
      <c r="A138" s="312" t="s">
        <v>1967</v>
      </c>
      <c r="B138" s="312" t="s">
        <v>4329</v>
      </c>
      <c r="C138" s="313" t="s">
        <v>3707</v>
      </c>
      <c r="D138" s="764"/>
      <c r="E138" s="764" t="str">
        <f>+B137</f>
        <v>PDA080</v>
      </c>
      <c r="F138" s="327"/>
      <c r="G138" s="327"/>
    </row>
    <row r="139" spans="1:7">
      <c r="A139" s="760" t="s">
        <v>1965</v>
      </c>
      <c r="B139" s="310" t="s">
        <v>3354</v>
      </c>
      <c r="C139" s="310" t="s">
        <v>3355</v>
      </c>
      <c r="D139" s="321"/>
      <c r="E139" s="321"/>
      <c r="F139" s="326"/>
      <c r="G139" s="326"/>
    </row>
    <row r="140" spans="1:7">
      <c r="A140" s="312" t="s">
        <v>1967</v>
      </c>
      <c r="B140" s="312" t="s">
        <v>4330</v>
      </c>
      <c r="C140" s="313" t="s">
        <v>3708</v>
      </c>
      <c r="D140" s="764"/>
      <c r="E140" s="764" t="str">
        <f>+B139</f>
        <v>PDA081</v>
      </c>
      <c r="F140" s="327"/>
      <c r="G140" s="327"/>
    </row>
    <row r="141" spans="1:7">
      <c r="A141" s="760" t="s">
        <v>1965</v>
      </c>
      <c r="B141" s="310" t="s">
        <v>3356</v>
      </c>
      <c r="C141" s="310" t="s">
        <v>3357</v>
      </c>
      <c r="D141" s="321" t="s">
        <v>1248</v>
      </c>
      <c r="E141" s="321"/>
      <c r="F141" s="326"/>
      <c r="G141" s="326"/>
    </row>
    <row r="142" spans="1:7">
      <c r="A142" s="312" t="s">
        <v>1967</v>
      </c>
      <c r="B142" s="312" t="s">
        <v>4331</v>
      </c>
      <c r="C142" s="313" t="s">
        <v>3709</v>
      </c>
      <c r="D142" s="764" t="s">
        <v>1248</v>
      </c>
      <c r="E142" s="764" t="str">
        <f>+B141</f>
        <v>PDA090</v>
      </c>
      <c r="F142" s="327"/>
      <c r="G142" s="327"/>
    </row>
    <row r="143" spans="1:7">
      <c r="A143" s="760" t="s">
        <v>1965</v>
      </c>
      <c r="B143" s="310" t="s">
        <v>3358</v>
      </c>
      <c r="C143" s="310" t="s">
        <v>3359</v>
      </c>
      <c r="D143" s="321"/>
      <c r="E143" s="321"/>
      <c r="F143" s="326"/>
      <c r="G143" s="326"/>
    </row>
    <row r="144" spans="1:7">
      <c r="A144" s="312" t="s">
        <v>1967</v>
      </c>
      <c r="B144" s="312" t="s">
        <v>4332</v>
      </c>
      <c r="C144" s="313" t="s">
        <v>3710</v>
      </c>
      <c r="D144" s="764"/>
      <c r="E144" s="764" t="str">
        <f>+B143</f>
        <v>PDA100</v>
      </c>
      <c r="F144" s="327"/>
      <c r="G144" s="327"/>
    </row>
    <row r="145" spans="1:7">
      <c r="A145" s="760" t="s">
        <v>1965</v>
      </c>
      <c r="B145" s="310" t="s">
        <v>3360</v>
      </c>
      <c r="C145" s="310" t="s">
        <v>3361</v>
      </c>
      <c r="D145" s="321"/>
      <c r="E145" s="321"/>
      <c r="F145" s="326"/>
      <c r="G145" s="326"/>
    </row>
    <row r="146" spans="1:7">
      <c r="A146" s="312" t="s">
        <v>1967</v>
      </c>
      <c r="B146" s="312" t="s">
        <v>4333</v>
      </c>
      <c r="C146" s="313" t="s">
        <v>3711</v>
      </c>
      <c r="D146" s="764"/>
      <c r="E146" s="764" t="str">
        <f>+B145</f>
        <v>PDA101</v>
      </c>
      <c r="F146" s="327"/>
      <c r="G146" s="327"/>
    </row>
    <row r="147" spans="1:7">
      <c r="A147" s="760" t="s">
        <v>1965</v>
      </c>
      <c r="B147" s="310" t="s">
        <v>3362</v>
      </c>
      <c r="C147" s="310" t="s">
        <v>3363</v>
      </c>
      <c r="D147" s="321"/>
      <c r="E147" s="321"/>
      <c r="F147" s="326"/>
      <c r="G147" s="326"/>
    </row>
    <row r="148" spans="1:7">
      <c r="A148" s="312" t="s">
        <v>1967</v>
      </c>
      <c r="B148" s="312" t="s">
        <v>4334</v>
      </c>
      <c r="C148" s="313" t="s">
        <v>3712</v>
      </c>
      <c r="D148" s="764"/>
      <c r="E148" s="764" t="str">
        <f>+B147</f>
        <v>PDA110</v>
      </c>
      <c r="F148" s="327"/>
      <c r="G148" s="327"/>
    </row>
    <row r="149" spans="1:7" ht="25.5">
      <c r="A149" s="760" t="s">
        <v>1965</v>
      </c>
      <c r="B149" s="310" t="s">
        <v>3364</v>
      </c>
      <c r="C149" s="310" t="s">
        <v>3365</v>
      </c>
      <c r="D149" s="321"/>
      <c r="E149" s="321"/>
      <c r="F149" s="326"/>
      <c r="G149" s="326"/>
    </row>
    <row r="150" spans="1:7" ht="24">
      <c r="A150" s="312" t="s">
        <v>1967</v>
      </c>
      <c r="B150" s="312" t="s">
        <v>4335</v>
      </c>
      <c r="C150" s="313" t="s">
        <v>3713</v>
      </c>
      <c r="D150" s="764"/>
      <c r="E150" s="764" t="str">
        <f>+B149</f>
        <v>PDA111</v>
      </c>
      <c r="F150" s="327"/>
      <c r="G150" s="327"/>
    </row>
    <row r="151" spans="1:7">
      <c r="A151" s="760" t="s">
        <v>1965</v>
      </c>
      <c r="B151" s="310" t="s">
        <v>3366</v>
      </c>
      <c r="C151" s="310" t="s">
        <v>4336</v>
      </c>
      <c r="D151" s="321"/>
      <c r="E151" s="321"/>
      <c r="F151" s="326"/>
      <c r="G151" s="326"/>
    </row>
    <row r="152" spans="1:7">
      <c r="A152" s="312" t="s">
        <v>1967</v>
      </c>
      <c r="B152" s="312" t="s">
        <v>4337</v>
      </c>
      <c r="C152" s="313" t="s">
        <v>4338</v>
      </c>
      <c r="D152" s="764"/>
      <c r="E152" s="764" t="str">
        <f>+B151</f>
        <v>PDA112</v>
      </c>
      <c r="F152" s="327"/>
      <c r="G152" s="327"/>
    </row>
    <row r="153" spans="1:7">
      <c r="A153" s="760" t="s">
        <v>1965</v>
      </c>
      <c r="B153" s="310" t="s">
        <v>3368</v>
      </c>
      <c r="C153" s="310" t="s">
        <v>4339</v>
      </c>
      <c r="D153" s="321"/>
      <c r="E153" s="321"/>
      <c r="F153" s="326"/>
      <c r="G153" s="326"/>
    </row>
    <row r="154" spans="1:7">
      <c r="A154" s="312" t="s">
        <v>1967</v>
      </c>
      <c r="B154" s="312" t="s">
        <v>4340</v>
      </c>
      <c r="C154" s="313" t="s">
        <v>3714</v>
      </c>
      <c r="D154" s="764"/>
      <c r="E154" s="764" t="str">
        <f>+B153</f>
        <v>PDA120</v>
      </c>
      <c r="F154" s="327"/>
      <c r="G154" s="327"/>
    </row>
    <row r="155" spans="1:7">
      <c r="A155" s="760" t="s">
        <v>1965</v>
      </c>
      <c r="B155" s="310" t="s">
        <v>3370</v>
      </c>
      <c r="C155" s="310" t="s">
        <v>3371</v>
      </c>
      <c r="D155" s="321"/>
      <c r="E155" s="321"/>
      <c r="F155" s="326"/>
      <c r="G155" s="326"/>
    </row>
    <row r="156" spans="1:7">
      <c r="A156" s="312">
        <v>5</v>
      </c>
      <c r="B156" s="312" t="s">
        <v>4341</v>
      </c>
      <c r="C156" s="313" t="s">
        <v>3715</v>
      </c>
      <c r="D156" s="764"/>
      <c r="E156" s="764" t="str">
        <f>+B155</f>
        <v>PDA121</v>
      </c>
      <c r="F156" s="327"/>
      <c r="G156" s="327"/>
    </row>
    <row r="157" spans="1:7">
      <c r="A157" s="312">
        <v>5</v>
      </c>
      <c r="B157" s="312" t="s">
        <v>4342</v>
      </c>
      <c r="C157" s="313" t="s">
        <v>3716</v>
      </c>
      <c r="D157" s="764"/>
      <c r="E157" s="764" t="str">
        <f>+E156</f>
        <v>PDA121</v>
      </c>
      <c r="F157" s="327">
        <v>18331.72</v>
      </c>
      <c r="G157" s="327">
        <v>18331.72</v>
      </c>
    </row>
    <row r="158" spans="1:7">
      <c r="A158" s="312">
        <v>5</v>
      </c>
      <c r="B158" s="312" t="s">
        <v>4343</v>
      </c>
      <c r="C158" s="313" t="s">
        <v>3717</v>
      </c>
      <c r="D158" s="764"/>
      <c r="E158" s="764" t="str">
        <f t="shared" ref="E158:E160" si="1">+E157</f>
        <v>PDA121</v>
      </c>
      <c r="F158" s="327">
        <v>2001720.69</v>
      </c>
      <c r="G158" s="327">
        <v>2001720.69</v>
      </c>
    </row>
    <row r="159" spans="1:7">
      <c r="A159" s="312">
        <v>5</v>
      </c>
      <c r="B159" s="312" t="s">
        <v>4344</v>
      </c>
      <c r="C159" s="313" t="s">
        <v>4345</v>
      </c>
      <c r="D159" s="764"/>
      <c r="E159" s="764" t="str">
        <f t="shared" si="1"/>
        <v>PDA121</v>
      </c>
      <c r="F159" s="327">
        <v>0</v>
      </c>
      <c r="G159" s="327">
        <v>536</v>
      </c>
    </row>
    <row r="160" spans="1:7">
      <c r="A160" s="312">
        <v>5</v>
      </c>
      <c r="B160" s="312" t="s">
        <v>4346</v>
      </c>
      <c r="C160" s="313" t="s">
        <v>4347</v>
      </c>
      <c r="D160" s="764"/>
      <c r="E160" s="764" t="str">
        <f t="shared" si="1"/>
        <v>PDA121</v>
      </c>
      <c r="F160" s="327"/>
      <c r="G160" s="327"/>
    </row>
    <row r="161" spans="1:7">
      <c r="A161" s="760" t="s">
        <v>1963</v>
      </c>
      <c r="B161" s="310" t="s">
        <v>3372</v>
      </c>
      <c r="C161" s="310" t="s">
        <v>3373</v>
      </c>
      <c r="D161" s="321"/>
      <c r="E161" s="321"/>
      <c r="F161" s="326"/>
      <c r="G161" s="326"/>
    </row>
    <row r="162" spans="1:7">
      <c r="A162" s="312">
        <v>4</v>
      </c>
      <c r="B162" s="312" t="s">
        <v>4348</v>
      </c>
      <c r="C162" s="313" t="s">
        <v>4349</v>
      </c>
      <c r="D162" s="764"/>
      <c r="E162" s="764" t="str">
        <f>+B161</f>
        <v>PDA130</v>
      </c>
      <c r="F162" s="327"/>
      <c r="G162" s="327"/>
    </row>
    <row r="163" spans="1:7">
      <c r="A163" s="312">
        <v>4</v>
      </c>
      <c r="B163" s="312" t="s">
        <v>4350</v>
      </c>
      <c r="C163" s="313" t="s">
        <v>3718</v>
      </c>
      <c r="D163" s="764"/>
      <c r="E163" s="764" t="str">
        <f>+E162</f>
        <v>PDA130</v>
      </c>
      <c r="F163" s="327"/>
      <c r="G163" s="327"/>
    </row>
    <row r="164" spans="1:7">
      <c r="A164" s="312">
        <v>4</v>
      </c>
      <c r="B164" s="312" t="s">
        <v>4351</v>
      </c>
      <c r="C164" s="313" t="s">
        <v>4352</v>
      </c>
      <c r="D164" s="764"/>
      <c r="E164" s="764" t="str">
        <f t="shared" ref="E164:E165" si="2">+E163</f>
        <v>PDA130</v>
      </c>
      <c r="F164" s="327"/>
      <c r="G164" s="327"/>
    </row>
    <row r="165" spans="1:7">
      <c r="A165" s="312">
        <v>4</v>
      </c>
      <c r="B165" s="312" t="s">
        <v>4353</v>
      </c>
      <c r="C165" s="313" t="s">
        <v>4354</v>
      </c>
      <c r="D165" s="764"/>
      <c r="E165" s="764" t="str">
        <f t="shared" si="2"/>
        <v>PDA130</v>
      </c>
      <c r="F165" s="327"/>
      <c r="G165" s="327"/>
    </row>
    <row r="166" spans="1:7">
      <c r="A166" s="760" t="s">
        <v>1963</v>
      </c>
      <c r="B166" s="310" t="s">
        <v>3374</v>
      </c>
      <c r="C166" s="310" t="s">
        <v>3375</v>
      </c>
      <c r="D166" s="321"/>
      <c r="E166" s="321"/>
      <c r="F166" s="326"/>
      <c r="G166" s="326"/>
    </row>
    <row r="167" spans="1:7">
      <c r="A167" s="760" t="s">
        <v>1965</v>
      </c>
      <c r="B167" s="310" t="s">
        <v>3376</v>
      </c>
      <c r="C167" s="310" t="s">
        <v>3377</v>
      </c>
      <c r="D167" s="321"/>
      <c r="E167" s="321"/>
      <c r="F167" s="326"/>
      <c r="G167" s="326"/>
    </row>
    <row r="168" spans="1:7" ht="25.5">
      <c r="A168" s="760" t="s">
        <v>1967</v>
      </c>
      <c r="B168" s="310" t="s">
        <v>3378</v>
      </c>
      <c r="C168" s="310" t="s">
        <v>3379</v>
      </c>
      <c r="D168" s="321" t="s">
        <v>4122</v>
      </c>
      <c r="E168" s="321"/>
      <c r="F168" s="326"/>
      <c r="G168" s="326"/>
    </row>
    <row r="169" spans="1:7">
      <c r="A169" s="312" t="s">
        <v>1969</v>
      </c>
      <c r="B169" s="312" t="s">
        <v>4355</v>
      </c>
      <c r="C169" s="313" t="s">
        <v>3719</v>
      </c>
      <c r="D169" s="764" t="s">
        <v>4122</v>
      </c>
      <c r="E169" s="764"/>
      <c r="F169" s="327"/>
      <c r="G169" s="327"/>
    </row>
    <row r="170" spans="1:7" ht="25.5">
      <c r="A170" s="760" t="s">
        <v>1967</v>
      </c>
      <c r="B170" s="310" t="s">
        <v>3380</v>
      </c>
      <c r="C170" s="310" t="s">
        <v>3381</v>
      </c>
      <c r="D170" s="321" t="s">
        <v>4122</v>
      </c>
      <c r="E170" s="321"/>
      <c r="F170" s="326"/>
      <c r="G170" s="326"/>
    </row>
    <row r="171" spans="1:7" ht="24">
      <c r="A171" s="312" t="s">
        <v>1969</v>
      </c>
      <c r="B171" s="312" t="s">
        <v>4356</v>
      </c>
      <c r="C171" s="313" t="s">
        <v>3720</v>
      </c>
      <c r="D171" s="764" t="s">
        <v>4122</v>
      </c>
      <c r="E171" s="764"/>
      <c r="F171" s="327"/>
      <c r="G171" s="327"/>
    </row>
    <row r="172" spans="1:7" ht="25.5">
      <c r="A172" s="760" t="s">
        <v>1967</v>
      </c>
      <c r="B172" s="310" t="s">
        <v>3382</v>
      </c>
      <c r="C172" s="310" t="s">
        <v>3383</v>
      </c>
      <c r="D172" s="321" t="s">
        <v>4122</v>
      </c>
      <c r="E172" s="321"/>
      <c r="F172" s="326"/>
      <c r="G172" s="326"/>
    </row>
    <row r="173" spans="1:7" ht="24">
      <c r="A173" s="312" t="s">
        <v>1969</v>
      </c>
      <c r="B173" s="312" t="s">
        <v>4357</v>
      </c>
      <c r="C173" s="313" t="s">
        <v>3721</v>
      </c>
      <c r="D173" s="764" t="s">
        <v>4122</v>
      </c>
      <c r="E173" s="764"/>
      <c r="F173" s="327"/>
      <c r="G173" s="327"/>
    </row>
    <row r="174" spans="1:7" ht="25.5">
      <c r="A174" s="760" t="s">
        <v>1967</v>
      </c>
      <c r="B174" s="310" t="s">
        <v>3384</v>
      </c>
      <c r="C174" s="310" t="s">
        <v>3385</v>
      </c>
      <c r="D174" s="321" t="s">
        <v>4122</v>
      </c>
      <c r="E174" s="321"/>
      <c r="F174" s="326"/>
      <c r="G174" s="326"/>
    </row>
    <row r="175" spans="1:7">
      <c r="A175" s="312" t="s">
        <v>1969</v>
      </c>
      <c r="B175" s="312" t="s">
        <v>4358</v>
      </c>
      <c r="C175" s="313" t="s">
        <v>3722</v>
      </c>
      <c r="D175" s="764" t="s">
        <v>4122</v>
      </c>
      <c r="E175" s="764"/>
      <c r="F175" s="327"/>
      <c r="G175" s="327"/>
    </row>
    <row r="176" spans="1:7" ht="25.5">
      <c r="A176" s="760" t="s">
        <v>1967</v>
      </c>
      <c r="B176" s="310" t="s">
        <v>3386</v>
      </c>
      <c r="C176" s="310" t="s">
        <v>3387</v>
      </c>
      <c r="D176" s="321" t="s">
        <v>4122</v>
      </c>
      <c r="E176" s="321"/>
      <c r="F176" s="326"/>
      <c r="G176" s="326"/>
    </row>
    <row r="177" spans="1:7">
      <c r="A177" s="312">
        <v>6</v>
      </c>
      <c r="B177" s="312" t="s">
        <v>4359</v>
      </c>
      <c r="C177" s="313" t="s">
        <v>3723</v>
      </c>
      <c r="D177" s="764" t="s">
        <v>4122</v>
      </c>
      <c r="E177" s="764"/>
      <c r="F177" s="327"/>
      <c r="G177" s="327"/>
    </row>
    <row r="178" spans="1:7" ht="24">
      <c r="A178" s="312">
        <v>6</v>
      </c>
      <c r="B178" s="312" t="s">
        <v>4360</v>
      </c>
      <c r="C178" s="313" t="s">
        <v>4361</v>
      </c>
      <c r="D178" s="764" t="s">
        <v>4122</v>
      </c>
      <c r="E178" s="764"/>
      <c r="F178" s="327"/>
      <c r="G178" s="327"/>
    </row>
    <row r="179" spans="1:7" ht="24">
      <c r="A179" s="312">
        <v>6</v>
      </c>
      <c r="B179" s="312" t="s">
        <v>4362</v>
      </c>
      <c r="C179" s="313" t="s">
        <v>4363</v>
      </c>
      <c r="D179" s="764" t="s">
        <v>4122</v>
      </c>
      <c r="E179" s="764"/>
      <c r="F179" s="327"/>
      <c r="G179" s="327"/>
    </row>
    <row r="180" spans="1:7" ht="25.5">
      <c r="A180" s="760" t="s">
        <v>1967</v>
      </c>
      <c r="B180" s="310" t="s">
        <v>3388</v>
      </c>
      <c r="C180" s="310" t="s">
        <v>3389</v>
      </c>
      <c r="D180" s="321" t="s">
        <v>4122</v>
      </c>
      <c r="E180" s="321"/>
      <c r="F180" s="326"/>
      <c r="G180" s="326"/>
    </row>
    <row r="181" spans="1:7">
      <c r="A181" s="312">
        <v>6</v>
      </c>
      <c r="B181" s="312" t="s">
        <v>4364</v>
      </c>
      <c r="C181" s="313" t="s">
        <v>3724</v>
      </c>
      <c r="D181" s="764" t="s">
        <v>4122</v>
      </c>
      <c r="E181" s="764"/>
      <c r="F181" s="327">
        <v>56413956.880000003</v>
      </c>
      <c r="G181" s="327">
        <v>71511041.439999998</v>
      </c>
    </row>
    <row r="182" spans="1:7" ht="24">
      <c r="A182" s="312">
        <v>6</v>
      </c>
      <c r="B182" s="312" t="s">
        <v>4365</v>
      </c>
      <c r="C182" s="313" t="s">
        <v>4366</v>
      </c>
      <c r="D182" s="764" t="s">
        <v>4122</v>
      </c>
      <c r="E182" s="764"/>
      <c r="F182" s="327">
        <v>218088.17</v>
      </c>
      <c r="G182" s="327">
        <v>90100.93</v>
      </c>
    </row>
    <row r="183" spans="1:7" ht="24">
      <c r="A183" s="312">
        <v>6</v>
      </c>
      <c r="B183" s="312" t="s">
        <v>4367</v>
      </c>
      <c r="C183" s="313" t="s">
        <v>4368</v>
      </c>
      <c r="D183" s="764" t="s">
        <v>4122</v>
      </c>
      <c r="E183" s="764"/>
      <c r="F183" s="327">
        <v>-271.08</v>
      </c>
      <c r="G183" s="327">
        <v>-184.18</v>
      </c>
    </row>
    <row r="184" spans="1:7" ht="25.5">
      <c r="A184" s="760" t="s">
        <v>1967</v>
      </c>
      <c r="B184" s="310" t="s">
        <v>3390</v>
      </c>
      <c r="C184" s="310" t="s">
        <v>4369</v>
      </c>
      <c r="D184" s="321" t="s">
        <v>4122</v>
      </c>
      <c r="E184" s="321"/>
      <c r="F184" s="326"/>
      <c r="G184" s="326"/>
    </row>
    <row r="185" spans="1:7">
      <c r="A185" s="312" t="s">
        <v>1969</v>
      </c>
      <c r="B185" s="312" t="s">
        <v>4370</v>
      </c>
      <c r="C185" s="313" t="s">
        <v>3725</v>
      </c>
      <c r="D185" s="764" t="s">
        <v>4122</v>
      </c>
      <c r="E185" s="764"/>
      <c r="F185" s="327"/>
      <c r="G185" s="327"/>
    </row>
    <row r="186" spans="1:7" ht="25.5">
      <c r="A186" s="760" t="s">
        <v>1967</v>
      </c>
      <c r="B186" s="310" t="s">
        <v>3392</v>
      </c>
      <c r="C186" s="310" t="s">
        <v>4371</v>
      </c>
      <c r="D186" s="321" t="s">
        <v>4122</v>
      </c>
      <c r="E186" s="321"/>
      <c r="F186" s="326"/>
      <c r="G186" s="326"/>
    </row>
    <row r="187" spans="1:7" ht="24">
      <c r="A187" s="312" t="s">
        <v>1969</v>
      </c>
      <c r="B187" s="312" t="s">
        <v>4372</v>
      </c>
      <c r="C187" s="313" t="s">
        <v>4373</v>
      </c>
      <c r="D187" s="764" t="s">
        <v>4122</v>
      </c>
      <c r="E187" s="764"/>
      <c r="F187" s="327"/>
      <c r="G187" s="327"/>
    </row>
    <row r="188" spans="1:7">
      <c r="A188" s="760" t="s">
        <v>1967</v>
      </c>
      <c r="B188" s="310" t="s">
        <v>3394</v>
      </c>
      <c r="C188" s="310" t="s">
        <v>4374</v>
      </c>
      <c r="D188" s="321"/>
      <c r="E188" s="321"/>
      <c r="F188" s="326"/>
      <c r="G188" s="326"/>
    </row>
    <row r="189" spans="1:7">
      <c r="A189" s="312" t="s">
        <v>1969</v>
      </c>
      <c r="B189" s="312" t="s">
        <v>4375</v>
      </c>
      <c r="C189" s="313" t="s">
        <v>4376</v>
      </c>
      <c r="D189" s="764" t="s">
        <v>4122</v>
      </c>
      <c r="E189" s="764"/>
      <c r="F189" s="327"/>
      <c r="G189" s="327"/>
    </row>
    <row r="190" spans="1:7">
      <c r="A190" s="760" t="s">
        <v>1965</v>
      </c>
      <c r="B190" s="310" t="s">
        <v>3396</v>
      </c>
      <c r="C190" s="310" t="s">
        <v>4377</v>
      </c>
      <c r="D190" s="321"/>
      <c r="E190" s="321"/>
      <c r="F190" s="326"/>
      <c r="G190" s="326"/>
    </row>
    <row r="191" spans="1:7">
      <c r="A191" s="312">
        <v>5</v>
      </c>
      <c r="B191" s="312" t="s">
        <v>4378</v>
      </c>
      <c r="C191" s="313" t="s">
        <v>3726</v>
      </c>
      <c r="D191" s="764"/>
      <c r="E191" s="764" t="str">
        <f>+B190</f>
        <v>PDA220</v>
      </c>
      <c r="F191" s="327">
        <v>155618.43</v>
      </c>
      <c r="G191" s="327">
        <v>203629.07</v>
      </c>
    </row>
    <row r="192" spans="1:7">
      <c r="A192" s="312">
        <v>5</v>
      </c>
      <c r="B192" s="312" t="s">
        <v>4379</v>
      </c>
      <c r="C192" s="313" t="s">
        <v>4380</v>
      </c>
      <c r="D192" s="764"/>
      <c r="E192" s="764" t="str">
        <f>+E191</f>
        <v>PDA220</v>
      </c>
      <c r="F192" s="327">
        <v>31122.82</v>
      </c>
      <c r="G192" s="327">
        <v>53838.64</v>
      </c>
    </row>
    <row r="193" spans="1:7">
      <c r="A193" s="312">
        <v>5</v>
      </c>
      <c r="B193" s="312" t="s">
        <v>4381</v>
      </c>
      <c r="C193" s="313" t="s">
        <v>4382</v>
      </c>
      <c r="D193" s="764"/>
      <c r="E193" s="764" t="str">
        <f t="shared" ref="E193" si="3">+E192</f>
        <v>PDA220</v>
      </c>
      <c r="F193" s="327">
        <v>-256.56</v>
      </c>
      <c r="G193" s="327">
        <v>-256.56</v>
      </c>
    </row>
    <row r="194" spans="1:7" ht="25.5">
      <c r="A194" s="760" t="s">
        <v>1965</v>
      </c>
      <c r="B194" s="310" t="s">
        <v>3398</v>
      </c>
      <c r="C194" s="310" t="s">
        <v>3399</v>
      </c>
      <c r="D194" s="321"/>
      <c r="E194" s="321"/>
      <c r="F194" s="326"/>
      <c r="G194" s="326"/>
    </row>
    <row r="195" spans="1:7" ht="25.5">
      <c r="A195" s="760" t="s">
        <v>1967</v>
      </c>
      <c r="B195" s="310" t="s">
        <v>3400</v>
      </c>
      <c r="C195" s="310" t="s">
        <v>4383</v>
      </c>
      <c r="D195" s="321"/>
      <c r="E195" s="321"/>
      <c r="F195" s="326"/>
      <c r="G195" s="326"/>
    </row>
    <row r="196" spans="1:7" ht="24">
      <c r="A196" s="312" t="s">
        <v>1969</v>
      </c>
      <c r="B196" s="312" t="s">
        <v>4384</v>
      </c>
      <c r="C196" s="313" t="s">
        <v>3727</v>
      </c>
      <c r="D196" s="764" t="s">
        <v>4122</v>
      </c>
      <c r="E196" s="764"/>
      <c r="F196" s="327"/>
      <c r="G196" s="327"/>
    </row>
    <row r="197" spans="1:7" ht="25.5">
      <c r="A197" s="760" t="s">
        <v>1967</v>
      </c>
      <c r="B197" s="310" t="s">
        <v>3402</v>
      </c>
      <c r="C197" s="310" t="s">
        <v>3403</v>
      </c>
      <c r="D197" s="321"/>
      <c r="E197" s="321"/>
      <c r="F197" s="326"/>
      <c r="G197" s="326"/>
    </row>
    <row r="198" spans="1:7" ht="24">
      <c r="A198" s="312" t="s">
        <v>1969</v>
      </c>
      <c r="B198" s="312" t="s">
        <v>4385</v>
      </c>
      <c r="C198" s="313" t="s">
        <v>4386</v>
      </c>
      <c r="D198" s="764" t="s">
        <v>4122</v>
      </c>
      <c r="E198" s="764"/>
      <c r="F198" s="327"/>
      <c r="G198" s="327"/>
    </row>
    <row r="199" spans="1:7" ht="25.5">
      <c r="A199" s="760" t="s">
        <v>1967</v>
      </c>
      <c r="B199" s="310" t="s">
        <v>3404</v>
      </c>
      <c r="C199" s="310" t="s">
        <v>3405</v>
      </c>
      <c r="D199" s="321"/>
      <c r="E199" s="321"/>
      <c r="F199" s="326"/>
      <c r="G199" s="326"/>
    </row>
    <row r="200" spans="1:7" ht="24">
      <c r="A200" s="312" t="s">
        <v>1969</v>
      </c>
      <c r="B200" s="312" t="s">
        <v>4387</v>
      </c>
      <c r="C200" s="313" t="s">
        <v>3728</v>
      </c>
      <c r="D200" s="764" t="s">
        <v>4122</v>
      </c>
      <c r="E200" s="764"/>
      <c r="F200" s="327"/>
      <c r="G200" s="327"/>
    </row>
    <row r="201" spans="1:7" ht="25.5">
      <c r="A201" s="760" t="s">
        <v>1967</v>
      </c>
      <c r="B201" s="310" t="s">
        <v>3406</v>
      </c>
      <c r="C201" s="310" t="s">
        <v>3407</v>
      </c>
      <c r="D201" s="321"/>
      <c r="E201" s="321"/>
      <c r="F201" s="326"/>
      <c r="G201" s="326"/>
    </row>
    <row r="202" spans="1:7" ht="24">
      <c r="A202" s="312" t="s">
        <v>1969</v>
      </c>
      <c r="B202" s="312" t="s">
        <v>4388</v>
      </c>
      <c r="C202" s="313" t="s">
        <v>3729</v>
      </c>
      <c r="D202" s="764" t="s">
        <v>4122</v>
      </c>
      <c r="E202" s="764"/>
      <c r="F202" s="327"/>
      <c r="G202" s="327"/>
    </row>
    <row r="203" spans="1:7" ht="25.5">
      <c r="A203" s="760" t="s">
        <v>1967</v>
      </c>
      <c r="B203" s="310" t="s">
        <v>3408</v>
      </c>
      <c r="C203" s="310" t="s">
        <v>3409</v>
      </c>
      <c r="D203" s="321"/>
      <c r="E203" s="321"/>
      <c r="F203" s="326"/>
      <c r="G203" s="326"/>
    </row>
    <row r="204" spans="1:7" ht="24">
      <c r="A204" s="312" t="s">
        <v>1969</v>
      </c>
      <c r="B204" s="312" t="s">
        <v>4389</v>
      </c>
      <c r="C204" s="313" t="s">
        <v>3730</v>
      </c>
      <c r="D204" s="764" t="s">
        <v>4122</v>
      </c>
      <c r="E204" s="764"/>
      <c r="F204" s="327"/>
      <c r="G204" s="327"/>
    </row>
    <row r="205" spans="1:7">
      <c r="A205" s="760" t="s">
        <v>1963</v>
      </c>
      <c r="B205" s="310" t="s">
        <v>3410</v>
      </c>
      <c r="C205" s="310" t="s">
        <v>3411</v>
      </c>
      <c r="D205" s="321"/>
      <c r="E205" s="321"/>
      <c r="F205" s="326"/>
      <c r="G205" s="326"/>
    </row>
    <row r="206" spans="1:7">
      <c r="A206" s="760" t="s">
        <v>1965</v>
      </c>
      <c r="B206" s="310" t="s">
        <v>3412</v>
      </c>
      <c r="C206" s="310" t="s">
        <v>3413</v>
      </c>
      <c r="D206" s="321"/>
      <c r="E206" s="321"/>
      <c r="F206" s="326"/>
      <c r="G206" s="326"/>
    </row>
    <row r="207" spans="1:7">
      <c r="A207" s="312" t="s">
        <v>1967</v>
      </c>
      <c r="B207" s="312" t="s">
        <v>4390</v>
      </c>
      <c r="C207" s="313" t="s">
        <v>3731</v>
      </c>
      <c r="D207" s="764"/>
      <c r="E207" s="764" t="str">
        <f>+B206</f>
        <v>PDA250</v>
      </c>
      <c r="F207" s="327"/>
      <c r="G207" s="327"/>
    </row>
    <row r="208" spans="1:7">
      <c r="A208" s="760" t="s">
        <v>1965</v>
      </c>
      <c r="B208" s="310" t="s">
        <v>3414</v>
      </c>
      <c r="C208" s="310" t="s">
        <v>3415</v>
      </c>
      <c r="D208" s="321"/>
      <c r="E208" s="321"/>
      <c r="F208" s="326"/>
      <c r="G208" s="326"/>
    </row>
    <row r="209" spans="1:7">
      <c r="A209" s="312" t="s">
        <v>1967</v>
      </c>
      <c r="B209" s="312" t="s">
        <v>4391</v>
      </c>
      <c r="C209" s="313" t="s">
        <v>3732</v>
      </c>
      <c r="D209" s="764"/>
      <c r="E209" s="764" t="str">
        <f>+B208</f>
        <v>PDA260</v>
      </c>
      <c r="F209" s="327"/>
      <c r="G209" s="327"/>
    </row>
    <row r="210" spans="1:7">
      <c r="A210" s="760" t="s">
        <v>1965</v>
      </c>
      <c r="B210" s="310" t="s">
        <v>3416</v>
      </c>
      <c r="C210" s="310" t="s">
        <v>3417</v>
      </c>
      <c r="D210" s="321"/>
      <c r="E210" s="321"/>
      <c r="F210" s="326"/>
      <c r="G210" s="326"/>
    </row>
    <row r="211" spans="1:7">
      <c r="A211" s="312">
        <v>5</v>
      </c>
      <c r="B211" s="312" t="s">
        <v>4392</v>
      </c>
      <c r="C211" s="313" t="s">
        <v>3733</v>
      </c>
      <c r="D211" s="764"/>
      <c r="E211" s="764" t="str">
        <f>+B210</f>
        <v>PDA270</v>
      </c>
      <c r="F211" s="327"/>
      <c r="G211" s="327"/>
    </row>
    <row r="212" spans="1:7">
      <c r="A212" s="312">
        <v>5</v>
      </c>
      <c r="B212" s="312" t="s">
        <v>4393</v>
      </c>
      <c r="C212" s="313" t="s">
        <v>4394</v>
      </c>
      <c r="D212" s="764"/>
      <c r="E212" s="764" t="str">
        <f>+E211</f>
        <v>PDA270</v>
      </c>
      <c r="F212" s="327"/>
      <c r="G212" s="327"/>
    </row>
    <row r="213" spans="1:7">
      <c r="A213" s="312">
        <v>5</v>
      </c>
      <c r="B213" s="312" t="s">
        <v>4395</v>
      </c>
      <c r="C213" s="313" t="s">
        <v>4396</v>
      </c>
      <c r="D213" s="764"/>
      <c r="E213" s="764" t="str">
        <f>+E212</f>
        <v>PDA270</v>
      </c>
      <c r="F213" s="327"/>
      <c r="G213" s="327"/>
    </row>
    <row r="214" spans="1:7">
      <c r="A214" s="760" t="s">
        <v>1963</v>
      </c>
      <c r="B214" s="310" t="s">
        <v>3418</v>
      </c>
      <c r="C214" s="310" t="s">
        <v>3419</v>
      </c>
      <c r="D214" s="321"/>
      <c r="E214" s="321"/>
      <c r="F214" s="326"/>
      <c r="G214" s="326"/>
    </row>
    <row r="215" spans="1:7" ht="25.5">
      <c r="A215" s="760" t="s">
        <v>1965</v>
      </c>
      <c r="B215" s="310" t="s">
        <v>3420</v>
      </c>
      <c r="C215" s="310" t="s">
        <v>4397</v>
      </c>
      <c r="D215" s="321"/>
      <c r="E215" s="321"/>
      <c r="F215" s="326"/>
      <c r="G215" s="326"/>
    </row>
    <row r="216" spans="1:7" ht="25.5">
      <c r="A216" s="760" t="s">
        <v>1967</v>
      </c>
      <c r="B216" s="310" t="s">
        <v>3422</v>
      </c>
      <c r="C216" s="310" t="s">
        <v>4398</v>
      </c>
      <c r="D216" s="321"/>
      <c r="E216" s="321"/>
      <c r="F216" s="326"/>
      <c r="G216" s="326"/>
    </row>
    <row r="217" spans="1:7">
      <c r="A217" s="312">
        <v>6</v>
      </c>
      <c r="B217" s="312" t="s">
        <v>4399</v>
      </c>
      <c r="C217" s="313" t="s">
        <v>4400</v>
      </c>
      <c r="D217" s="764"/>
      <c r="E217" s="764" t="str">
        <f>+B216</f>
        <v>PDA291</v>
      </c>
      <c r="F217" s="327"/>
      <c r="G217" s="327">
        <v>0</v>
      </c>
    </row>
    <row r="218" spans="1:7" ht="24">
      <c r="A218" s="312" t="s">
        <v>1969</v>
      </c>
      <c r="B218" s="312" t="s">
        <v>4401</v>
      </c>
      <c r="C218" s="313" t="s">
        <v>4402</v>
      </c>
      <c r="D218" s="764"/>
      <c r="E218" s="764" t="str">
        <f>+E217</f>
        <v>PDA291</v>
      </c>
      <c r="F218" s="327"/>
      <c r="G218" s="327"/>
    </row>
    <row r="219" spans="1:7">
      <c r="A219" s="760" t="s">
        <v>1967</v>
      </c>
      <c r="B219" s="310" t="s">
        <v>3424</v>
      </c>
      <c r="C219" s="310" t="s">
        <v>3425</v>
      </c>
      <c r="D219" s="321"/>
      <c r="E219" s="321"/>
      <c r="F219" s="326"/>
      <c r="G219" s="326"/>
    </row>
    <row r="220" spans="1:7">
      <c r="A220" s="312" t="s">
        <v>1969</v>
      </c>
      <c r="B220" s="312" t="s">
        <v>4403</v>
      </c>
      <c r="C220" s="313" t="s">
        <v>3734</v>
      </c>
      <c r="D220" s="764"/>
      <c r="E220" s="764" t="str">
        <f>+B219</f>
        <v>PDA292</v>
      </c>
      <c r="F220" s="327"/>
      <c r="G220" s="327"/>
    </row>
    <row r="221" spans="1:7">
      <c r="A221" s="760" t="s">
        <v>1965</v>
      </c>
      <c r="B221" s="310" t="s">
        <v>3426</v>
      </c>
      <c r="C221" s="310" t="s">
        <v>3427</v>
      </c>
      <c r="D221" s="321"/>
      <c r="E221" s="321"/>
      <c r="F221" s="326"/>
      <c r="G221" s="326"/>
    </row>
    <row r="222" spans="1:7">
      <c r="A222" s="760" t="s">
        <v>1967</v>
      </c>
      <c r="B222" s="310" t="s">
        <v>3428</v>
      </c>
      <c r="C222" s="310" t="s">
        <v>3429</v>
      </c>
      <c r="D222" s="321"/>
      <c r="E222" s="321"/>
      <c r="F222" s="326"/>
      <c r="G222" s="326"/>
    </row>
    <row r="223" spans="1:7">
      <c r="A223" s="312">
        <v>6</v>
      </c>
      <c r="B223" s="312" t="s">
        <v>4404</v>
      </c>
      <c r="C223" s="313" t="s">
        <v>3735</v>
      </c>
      <c r="D223" s="764"/>
      <c r="E223" s="764" t="str">
        <f>+B222</f>
        <v>PDA301</v>
      </c>
      <c r="F223" s="327">
        <v>66861795.119999997</v>
      </c>
      <c r="G223" s="327">
        <v>82814274.799999997</v>
      </c>
    </row>
    <row r="224" spans="1:7">
      <c r="A224" s="312">
        <v>6</v>
      </c>
      <c r="B224" s="312" t="s">
        <v>4405</v>
      </c>
      <c r="C224" s="313" t="s">
        <v>3736</v>
      </c>
      <c r="D224" s="764"/>
      <c r="E224" s="764" t="str">
        <f>+E223</f>
        <v>PDA301</v>
      </c>
      <c r="F224" s="327">
        <v>227612.21</v>
      </c>
      <c r="G224" s="327">
        <v>390314.42</v>
      </c>
    </row>
    <row r="225" spans="1:7">
      <c r="A225" s="312">
        <v>6</v>
      </c>
      <c r="B225" s="312" t="s">
        <v>4406</v>
      </c>
      <c r="C225" s="313" t="s">
        <v>3737</v>
      </c>
      <c r="D225" s="764"/>
      <c r="E225" s="764" t="str">
        <f>+E224</f>
        <v>PDA301</v>
      </c>
      <c r="F225" s="327"/>
      <c r="G225" s="327">
        <v>1308860.6299999999</v>
      </c>
    </row>
    <row r="226" spans="1:7">
      <c r="A226" s="312">
        <v>6</v>
      </c>
      <c r="B226" s="312" t="s">
        <v>4407</v>
      </c>
      <c r="C226" s="313" t="s">
        <v>3738</v>
      </c>
      <c r="D226" s="764"/>
      <c r="E226" s="764" t="str">
        <f>+E225</f>
        <v>PDA301</v>
      </c>
      <c r="F226" s="327"/>
      <c r="G226" s="327"/>
    </row>
    <row r="227" spans="1:7">
      <c r="A227" s="312">
        <v>6</v>
      </c>
      <c r="B227" s="312" t="s">
        <v>4408</v>
      </c>
      <c r="C227" s="313" t="s">
        <v>3739</v>
      </c>
      <c r="D227" s="764"/>
      <c r="E227" s="764" t="str">
        <f t="shared" ref="E227:E228" si="4">+E226</f>
        <v>PDA301</v>
      </c>
      <c r="F227" s="327"/>
      <c r="G227" s="327"/>
    </row>
    <row r="228" spans="1:7">
      <c r="A228" s="312">
        <v>6</v>
      </c>
      <c r="B228" s="312" t="s">
        <v>4409</v>
      </c>
      <c r="C228" s="313" t="s">
        <v>4410</v>
      </c>
      <c r="D228" s="764"/>
      <c r="E228" s="764" t="str">
        <f t="shared" si="4"/>
        <v>PDA301</v>
      </c>
      <c r="F228" s="327">
        <v>6034962.5800000001</v>
      </c>
      <c r="G228" s="327">
        <v>7972324.0899999999</v>
      </c>
    </row>
    <row r="229" spans="1:7">
      <c r="A229" s="760" t="s">
        <v>1967</v>
      </c>
      <c r="B229" s="310" t="s">
        <v>3430</v>
      </c>
      <c r="C229" s="310" t="s">
        <v>4411</v>
      </c>
      <c r="D229" s="321"/>
      <c r="E229" s="321"/>
      <c r="F229" s="326"/>
      <c r="G229" s="326"/>
    </row>
    <row r="230" spans="1:7">
      <c r="A230" s="312" t="s">
        <v>1969</v>
      </c>
      <c r="B230" s="312" t="s">
        <v>4412</v>
      </c>
      <c r="C230" s="313" t="s">
        <v>3740</v>
      </c>
      <c r="D230" s="764"/>
      <c r="E230" s="764" t="str">
        <f>+B229</f>
        <v>PDA302</v>
      </c>
      <c r="F230" s="327">
        <v>-3220276.47</v>
      </c>
      <c r="G230" s="327">
        <v>-2676155.84</v>
      </c>
    </row>
    <row r="231" spans="1:7">
      <c r="A231" s="760" t="s">
        <v>1963</v>
      </c>
      <c r="B231" s="310" t="s">
        <v>3432</v>
      </c>
      <c r="C231" s="310" t="s">
        <v>3433</v>
      </c>
      <c r="D231" s="321"/>
      <c r="E231" s="321"/>
      <c r="F231" s="326"/>
      <c r="G231" s="326"/>
    </row>
    <row r="232" spans="1:7">
      <c r="A232" s="312">
        <v>4</v>
      </c>
      <c r="B232" s="312" t="s">
        <v>4413</v>
      </c>
      <c r="C232" s="313" t="s">
        <v>3741</v>
      </c>
      <c r="D232" s="764"/>
      <c r="E232" s="764" t="str">
        <f>+B231</f>
        <v>PDA310</v>
      </c>
      <c r="F232" s="327"/>
      <c r="G232" s="327"/>
    </row>
    <row r="233" spans="1:7">
      <c r="A233" s="312">
        <v>4</v>
      </c>
      <c r="B233" s="312" t="s">
        <v>4414</v>
      </c>
      <c r="C233" s="313" t="s">
        <v>3742</v>
      </c>
      <c r="D233" s="764"/>
      <c r="E233" s="764" t="str">
        <f>+E232</f>
        <v>PDA310</v>
      </c>
      <c r="F233" s="327"/>
      <c r="G233" s="327"/>
    </row>
    <row r="234" spans="1:7">
      <c r="A234" s="760" t="s">
        <v>1963</v>
      </c>
      <c r="B234" s="310" t="s">
        <v>3434</v>
      </c>
      <c r="C234" s="310" t="s">
        <v>3435</v>
      </c>
      <c r="D234" s="321"/>
      <c r="E234" s="321"/>
      <c r="F234" s="326"/>
      <c r="G234" s="326"/>
    </row>
    <row r="235" spans="1:7">
      <c r="A235" s="312">
        <v>4</v>
      </c>
      <c r="B235" s="312" t="s">
        <v>4415</v>
      </c>
      <c r="C235" s="313" t="s">
        <v>115</v>
      </c>
      <c r="D235" s="764"/>
      <c r="E235" s="764" t="str">
        <f>+B234</f>
        <v>PDA320</v>
      </c>
      <c r="F235" s="327"/>
      <c r="G235" s="327">
        <v>166456.83359999271</v>
      </c>
    </row>
    <row r="236" spans="1:7">
      <c r="A236" s="312">
        <v>4</v>
      </c>
      <c r="B236" s="312" t="s">
        <v>4416</v>
      </c>
      <c r="C236" s="313" t="s">
        <v>110</v>
      </c>
      <c r="D236" s="764"/>
      <c r="E236" s="764" t="str">
        <f>+E235</f>
        <v>PDA320</v>
      </c>
      <c r="F236" s="327">
        <v>152530.41</v>
      </c>
      <c r="G236" s="327">
        <v>148387.79</v>
      </c>
    </row>
    <row r="237" spans="1:7">
      <c r="A237" s="312">
        <v>4</v>
      </c>
      <c r="B237" s="312" t="s">
        <v>4417</v>
      </c>
      <c r="C237" s="313" t="s">
        <v>3743</v>
      </c>
      <c r="D237" s="764"/>
      <c r="E237" s="764" t="str">
        <f>+E236</f>
        <v>PDA320</v>
      </c>
      <c r="F237" s="327">
        <v>292032.12</v>
      </c>
      <c r="G237" s="327">
        <v>270022.09000000003</v>
      </c>
    </row>
    <row r="238" spans="1:7">
      <c r="A238" s="312">
        <v>4</v>
      </c>
      <c r="B238" s="312" t="s">
        <v>4418</v>
      </c>
      <c r="C238" s="313" t="s">
        <v>3744</v>
      </c>
      <c r="D238" s="764"/>
      <c r="E238" s="764" t="str">
        <f>+E237</f>
        <v>PDA320</v>
      </c>
      <c r="F238" s="327">
        <v>388367.37</v>
      </c>
      <c r="G238" s="327">
        <v>231916.06</v>
      </c>
    </row>
    <row r="239" spans="1:7">
      <c r="A239" s="312">
        <v>4</v>
      </c>
      <c r="B239" s="312" t="s">
        <v>4419</v>
      </c>
      <c r="C239" s="313" t="s">
        <v>3745</v>
      </c>
      <c r="D239" s="764"/>
      <c r="E239" s="764" t="str">
        <f t="shared" ref="E239:E240" si="5">+E238</f>
        <v>PDA320</v>
      </c>
      <c r="F239" s="327"/>
      <c r="G239" s="327">
        <v>0</v>
      </c>
    </row>
    <row r="240" spans="1:7">
      <c r="A240" s="312">
        <v>4</v>
      </c>
      <c r="B240" s="312" t="s">
        <v>4420</v>
      </c>
      <c r="C240" s="313" t="s">
        <v>3746</v>
      </c>
      <c r="D240" s="764"/>
      <c r="E240" s="764" t="str">
        <f t="shared" si="5"/>
        <v>PDA320</v>
      </c>
      <c r="F240" s="327"/>
      <c r="G240" s="327">
        <v>0</v>
      </c>
    </row>
    <row r="241" spans="1:7">
      <c r="A241" s="312">
        <v>4</v>
      </c>
      <c r="B241" s="312" t="s">
        <v>4421</v>
      </c>
      <c r="C241" s="313" t="s">
        <v>4422</v>
      </c>
      <c r="D241" s="764"/>
      <c r="E241" s="764" t="str">
        <f>+E240</f>
        <v>PDA320</v>
      </c>
      <c r="F241" s="327"/>
      <c r="G241" s="327">
        <v>0</v>
      </c>
    </row>
    <row r="242" spans="1:7">
      <c r="A242" s="312">
        <v>4</v>
      </c>
      <c r="B242" s="312" t="s">
        <v>4423</v>
      </c>
      <c r="C242" s="313" t="s">
        <v>3747</v>
      </c>
      <c r="D242" s="764"/>
      <c r="E242" s="764" t="str">
        <f t="shared" ref="E242:E246" si="6">+E241</f>
        <v>PDA320</v>
      </c>
      <c r="F242" s="327"/>
      <c r="G242" s="327"/>
    </row>
    <row r="243" spans="1:7">
      <c r="A243" s="312">
        <v>4</v>
      </c>
      <c r="B243" s="312" t="s">
        <v>4424</v>
      </c>
      <c r="C243" s="313" t="s">
        <v>3748</v>
      </c>
      <c r="D243" s="764"/>
      <c r="E243" s="764" t="str">
        <f t="shared" si="6"/>
        <v>PDA320</v>
      </c>
      <c r="F243" s="327"/>
      <c r="G243" s="327">
        <v>0</v>
      </c>
    </row>
    <row r="244" spans="1:7">
      <c r="A244" s="312">
        <v>4</v>
      </c>
      <c r="B244" s="312" t="s">
        <v>4425</v>
      </c>
      <c r="C244" s="313" t="s">
        <v>4426</v>
      </c>
      <c r="D244" s="764"/>
      <c r="E244" s="764" t="str">
        <f t="shared" si="6"/>
        <v>PDA320</v>
      </c>
      <c r="F244" s="327">
        <v>456053.72</v>
      </c>
      <c r="G244" s="327">
        <v>855755.47</v>
      </c>
    </row>
    <row r="245" spans="1:7">
      <c r="A245" s="312">
        <v>4</v>
      </c>
      <c r="B245" s="312" t="s">
        <v>4427</v>
      </c>
      <c r="C245" s="313" t="s">
        <v>4428</v>
      </c>
      <c r="D245" s="764"/>
      <c r="E245" s="764" t="str">
        <f t="shared" si="6"/>
        <v>PDA320</v>
      </c>
      <c r="F245" s="327"/>
      <c r="G245" s="327">
        <v>0</v>
      </c>
    </row>
    <row r="246" spans="1:7">
      <c r="A246" s="312">
        <v>4</v>
      </c>
      <c r="B246" s="312" t="s">
        <v>4429</v>
      </c>
      <c r="C246" s="313" t="s">
        <v>3749</v>
      </c>
      <c r="D246" s="764"/>
      <c r="E246" s="764" t="str">
        <f t="shared" si="6"/>
        <v>PDA320</v>
      </c>
      <c r="F246" s="327">
        <v>12359.08</v>
      </c>
      <c r="G246" s="327">
        <v>6769.22</v>
      </c>
    </row>
    <row r="247" spans="1:7">
      <c r="A247" s="760" t="s">
        <v>1963</v>
      </c>
      <c r="B247" s="310" t="s">
        <v>3436</v>
      </c>
      <c r="C247" s="310" t="s">
        <v>3437</v>
      </c>
      <c r="D247" s="321"/>
      <c r="E247" s="321"/>
      <c r="F247" s="326"/>
      <c r="G247" s="326"/>
    </row>
    <row r="248" spans="1:7">
      <c r="A248" s="312">
        <v>4</v>
      </c>
      <c r="B248" s="312" t="s">
        <v>4430</v>
      </c>
      <c r="C248" s="313" t="s">
        <v>3750</v>
      </c>
      <c r="D248" s="764"/>
      <c r="E248" s="764" t="str">
        <f>+B247</f>
        <v>PDA330</v>
      </c>
      <c r="F248" s="327">
        <v>480543.69</v>
      </c>
      <c r="G248" s="327">
        <v>423510.51</v>
      </c>
    </row>
    <row r="249" spans="1:7">
      <c r="A249" s="312">
        <v>4</v>
      </c>
      <c r="B249" s="312" t="s">
        <v>4431</v>
      </c>
      <c r="C249" s="313" t="s">
        <v>3751</v>
      </c>
      <c r="D249" s="764"/>
      <c r="E249" s="764" t="str">
        <f>+E248</f>
        <v>PDA330</v>
      </c>
      <c r="F249" s="327">
        <v>4830.79</v>
      </c>
      <c r="G249" s="327">
        <v>5510.58</v>
      </c>
    </row>
    <row r="250" spans="1:7">
      <c r="A250" s="312">
        <v>4</v>
      </c>
      <c r="B250" s="312" t="s">
        <v>4432</v>
      </c>
      <c r="C250" s="313" t="s">
        <v>3752</v>
      </c>
      <c r="D250" s="764"/>
      <c r="E250" s="764" t="str">
        <f>+E249</f>
        <v>PDA330</v>
      </c>
      <c r="F250" s="327">
        <v>3040.28</v>
      </c>
      <c r="G250" s="327">
        <v>6768.2</v>
      </c>
    </row>
    <row r="251" spans="1:7">
      <c r="A251" s="312">
        <v>4</v>
      </c>
      <c r="B251" s="312" t="s">
        <v>4433</v>
      </c>
      <c r="C251" s="313" t="s">
        <v>3753</v>
      </c>
      <c r="D251" s="764"/>
      <c r="E251" s="764" t="str">
        <f>+E250</f>
        <v>PDA330</v>
      </c>
      <c r="F251" s="327"/>
      <c r="G251" s="327"/>
    </row>
    <row r="252" spans="1:7">
      <c r="A252" s="312">
        <v>4</v>
      </c>
      <c r="B252" s="312" t="s">
        <v>4434</v>
      </c>
      <c r="C252" s="313" t="s">
        <v>3754</v>
      </c>
      <c r="D252" s="764"/>
      <c r="E252" s="764" t="str">
        <f t="shared" ref="E252:E253" si="7">+E251</f>
        <v>PDA330</v>
      </c>
      <c r="F252" s="327"/>
      <c r="G252" s="327"/>
    </row>
    <row r="253" spans="1:7">
      <c r="A253" s="312">
        <v>4</v>
      </c>
      <c r="B253" s="312" t="s">
        <v>4435</v>
      </c>
      <c r="C253" s="313" t="s">
        <v>3755</v>
      </c>
      <c r="D253" s="764"/>
      <c r="E253" s="764" t="str">
        <f t="shared" si="7"/>
        <v>PDA330</v>
      </c>
      <c r="F253" s="327">
        <v>1689.79</v>
      </c>
      <c r="G253" s="327">
        <v>1291.27</v>
      </c>
    </row>
    <row r="254" spans="1:7">
      <c r="A254" s="312">
        <v>4</v>
      </c>
      <c r="B254" s="312" t="s">
        <v>4436</v>
      </c>
      <c r="C254" s="313" t="s">
        <v>3756</v>
      </c>
      <c r="D254" s="764"/>
      <c r="E254" s="764" t="str">
        <f>+E253</f>
        <v>PDA330</v>
      </c>
      <c r="F254" s="327"/>
      <c r="G254" s="327"/>
    </row>
    <row r="255" spans="1:7">
      <c r="A255" s="312">
        <v>4</v>
      </c>
      <c r="B255" s="312" t="s">
        <v>4437</v>
      </c>
      <c r="C255" s="313" t="s">
        <v>3757</v>
      </c>
      <c r="D255" s="764"/>
      <c r="E255" s="764" t="str">
        <f t="shared" ref="E255:E256" si="8">+E254</f>
        <v>PDA330</v>
      </c>
      <c r="F255" s="327"/>
      <c r="G255" s="327"/>
    </row>
    <row r="256" spans="1:7">
      <c r="A256" s="312">
        <v>4</v>
      </c>
      <c r="B256" s="312" t="s">
        <v>4438</v>
      </c>
      <c r="C256" s="313" t="s">
        <v>4439</v>
      </c>
      <c r="D256" s="764"/>
      <c r="E256" s="764" t="str">
        <f t="shared" si="8"/>
        <v>PDA330</v>
      </c>
      <c r="F256" s="327">
        <v>8730.81</v>
      </c>
      <c r="G256" s="327">
        <v>5266.26</v>
      </c>
    </row>
    <row r="257" spans="1:7">
      <c r="A257" s="760" t="s">
        <v>1963</v>
      </c>
      <c r="B257" s="310" t="s">
        <v>3438</v>
      </c>
      <c r="C257" s="310" t="s">
        <v>3439</v>
      </c>
      <c r="D257" s="321"/>
      <c r="E257" s="321"/>
      <c r="F257" s="326"/>
      <c r="G257" s="326"/>
    </row>
    <row r="258" spans="1:7">
      <c r="A258" s="760" t="s">
        <v>1965</v>
      </c>
      <c r="B258" s="310" t="s">
        <v>3440</v>
      </c>
      <c r="C258" s="310" t="s">
        <v>3441</v>
      </c>
      <c r="D258" s="321"/>
      <c r="E258" s="321"/>
      <c r="F258" s="326"/>
      <c r="G258" s="326"/>
    </row>
    <row r="259" spans="1:7">
      <c r="A259" s="312">
        <v>5</v>
      </c>
      <c r="B259" s="312" t="s">
        <v>4440</v>
      </c>
      <c r="C259" s="775" t="s">
        <v>3758</v>
      </c>
      <c r="D259" s="764"/>
      <c r="E259" s="764" t="str">
        <f>+B258</f>
        <v>PDA350</v>
      </c>
      <c r="F259" s="327"/>
      <c r="G259" s="327"/>
    </row>
    <row r="260" spans="1:7">
      <c r="A260" s="760" t="s">
        <v>1965</v>
      </c>
      <c r="B260" s="310" t="s">
        <v>3442</v>
      </c>
      <c r="C260" s="310" t="s">
        <v>3443</v>
      </c>
      <c r="D260" s="321"/>
      <c r="E260" s="321"/>
      <c r="F260" s="326"/>
      <c r="G260" s="326"/>
    </row>
    <row r="261" spans="1:7">
      <c r="A261" s="312">
        <v>5</v>
      </c>
      <c r="B261" s="312" t="s">
        <v>4441</v>
      </c>
      <c r="C261" s="313" t="s">
        <v>4442</v>
      </c>
      <c r="D261" s="764"/>
      <c r="E261" s="764" t="str">
        <f>+B260</f>
        <v>PDA360</v>
      </c>
      <c r="F261" s="327">
        <v>130103.31</v>
      </c>
      <c r="G261" s="327">
        <v>110694.47</v>
      </c>
    </row>
    <row r="262" spans="1:7">
      <c r="A262" s="312">
        <v>5</v>
      </c>
      <c r="B262" s="312" t="s">
        <v>4443</v>
      </c>
      <c r="C262" s="313" t="s">
        <v>3759</v>
      </c>
      <c r="D262" s="764"/>
      <c r="E262" s="764" t="str">
        <f>+E261</f>
        <v>PDA360</v>
      </c>
      <c r="F262" s="327">
        <f>1971693.08</f>
        <v>1971693.08</v>
      </c>
      <c r="G262" s="327">
        <v>1724803.68</v>
      </c>
    </row>
    <row r="263" spans="1:7">
      <c r="A263" s="760" t="s">
        <v>1965</v>
      </c>
      <c r="B263" s="310" t="s">
        <v>3444</v>
      </c>
      <c r="C263" s="310" t="s">
        <v>3445</v>
      </c>
      <c r="D263" s="321"/>
      <c r="E263" s="321"/>
      <c r="F263" s="326"/>
      <c r="G263" s="326"/>
    </row>
    <row r="264" spans="1:7">
      <c r="A264" s="312">
        <v>5</v>
      </c>
      <c r="B264" s="312" t="s">
        <v>4444</v>
      </c>
      <c r="C264" s="313" t="s">
        <v>3760</v>
      </c>
      <c r="D264" s="764"/>
      <c r="E264" s="764" t="str">
        <f>+B263</f>
        <v>PDA370</v>
      </c>
      <c r="F264" s="327"/>
      <c r="G264" s="327"/>
    </row>
    <row r="265" spans="1:7">
      <c r="A265" s="312">
        <v>5</v>
      </c>
      <c r="B265" s="312" t="s">
        <v>4445</v>
      </c>
      <c r="C265" s="313" t="s">
        <v>3761</v>
      </c>
      <c r="D265" s="764"/>
      <c r="E265" s="764" t="str">
        <f>+E264</f>
        <v>PDA370</v>
      </c>
      <c r="F265" s="327"/>
      <c r="G265" s="327"/>
    </row>
    <row r="266" spans="1:7">
      <c r="A266" s="760" t="s">
        <v>1965</v>
      </c>
      <c r="B266" s="310" t="s">
        <v>3446</v>
      </c>
      <c r="C266" s="310" t="s">
        <v>3447</v>
      </c>
      <c r="D266" s="321"/>
      <c r="E266" s="321"/>
      <c r="F266" s="326"/>
      <c r="G266" s="326"/>
    </row>
    <row r="267" spans="1:7">
      <c r="A267" s="312">
        <v>5</v>
      </c>
      <c r="B267" s="312" t="s">
        <v>4446</v>
      </c>
      <c r="C267" s="313" t="s">
        <v>3762</v>
      </c>
      <c r="D267" s="764"/>
      <c r="E267" s="764" t="str">
        <f>+B266</f>
        <v>PDA380</v>
      </c>
      <c r="F267" s="327">
        <v>911358.26</v>
      </c>
      <c r="G267" s="327">
        <v>606915.66</v>
      </c>
    </row>
    <row r="268" spans="1:7">
      <c r="A268" s="312">
        <v>5</v>
      </c>
      <c r="B268" s="312" t="s">
        <v>4447</v>
      </c>
      <c r="C268" s="313" t="s">
        <v>3763</v>
      </c>
      <c r="D268" s="764"/>
      <c r="E268" s="764" t="str">
        <f>+E267</f>
        <v>PDA380</v>
      </c>
      <c r="F268" s="327"/>
      <c r="G268" s="327"/>
    </row>
    <row r="269" spans="1:7">
      <c r="A269" s="312">
        <v>5</v>
      </c>
      <c r="B269" s="312" t="s">
        <v>4448</v>
      </c>
      <c r="C269" s="313" t="s">
        <v>3764</v>
      </c>
      <c r="D269" s="764"/>
      <c r="E269" s="764" t="str">
        <f>+E268</f>
        <v>PDA380</v>
      </c>
      <c r="F269" s="327"/>
      <c r="G269" s="327"/>
    </row>
    <row r="270" spans="1:7">
      <c r="A270" s="312">
        <v>5</v>
      </c>
      <c r="B270" s="312" t="s">
        <v>4449</v>
      </c>
      <c r="C270" s="313" t="s">
        <v>3765</v>
      </c>
      <c r="D270" s="764"/>
      <c r="E270" s="764" t="str">
        <f>+E269</f>
        <v>PDA380</v>
      </c>
      <c r="F270" s="327">
        <v>8300.3799999999992</v>
      </c>
      <c r="G270" s="327">
        <v>7717.05</v>
      </c>
    </row>
    <row r="271" spans="1:7">
      <c r="A271" s="315">
        <v>5</v>
      </c>
      <c r="B271" s="315" t="s">
        <v>4450</v>
      </c>
      <c r="C271" s="316" t="s">
        <v>4451</v>
      </c>
      <c r="D271" s="324"/>
      <c r="E271" s="324"/>
      <c r="F271" s="771"/>
      <c r="G271" s="771"/>
    </row>
    <row r="272" spans="1:7">
      <c r="A272" s="312">
        <v>6</v>
      </c>
      <c r="B272" s="312" t="s">
        <v>4452</v>
      </c>
      <c r="C272" s="313" t="s">
        <v>3766</v>
      </c>
      <c r="D272" s="764"/>
      <c r="E272" s="764" t="str">
        <f>+B266</f>
        <v>PDA380</v>
      </c>
      <c r="F272" s="327"/>
      <c r="G272" s="327"/>
    </row>
    <row r="273" spans="1:7">
      <c r="A273" s="312">
        <v>6</v>
      </c>
      <c r="B273" s="312" t="s">
        <v>4453</v>
      </c>
      <c r="C273" s="313" t="s">
        <v>3767</v>
      </c>
      <c r="D273" s="764"/>
      <c r="E273" s="764" t="str">
        <f>+E272</f>
        <v>PDA380</v>
      </c>
      <c r="F273" s="327"/>
      <c r="G273" s="327"/>
    </row>
    <row r="274" spans="1:7">
      <c r="A274" s="312">
        <v>5</v>
      </c>
      <c r="B274" s="312" t="s">
        <v>4454</v>
      </c>
      <c r="C274" s="313" t="s">
        <v>3768</v>
      </c>
      <c r="D274" s="764"/>
      <c r="E274" s="764" t="str">
        <f t="shared" ref="E274:E276" si="9">+E273</f>
        <v>PDA380</v>
      </c>
      <c r="F274" s="327">
        <v>189442.08</v>
      </c>
      <c r="G274" s="327">
        <v>162164.73000000001</v>
      </c>
    </row>
    <row r="275" spans="1:7">
      <c r="A275" s="312">
        <v>5</v>
      </c>
      <c r="B275" s="312" t="s">
        <v>4455</v>
      </c>
      <c r="C275" s="313" t="s">
        <v>3769</v>
      </c>
      <c r="D275" s="764"/>
      <c r="E275" s="764" t="str">
        <f t="shared" si="9"/>
        <v>PDA380</v>
      </c>
      <c r="F275" s="327"/>
      <c r="G275" s="327"/>
    </row>
    <row r="276" spans="1:7">
      <c r="A276" s="312">
        <v>5</v>
      </c>
      <c r="B276" s="312" t="s">
        <v>4456</v>
      </c>
      <c r="C276" s="313" t="s">
        <v>3770</v>
      </c>
      <c r="D276" s="764"/>
      <c r="E276" s="764" t="str">
        <f t="shared" si="9"/>
        <v>PDA380</v>
      </c>
      <c r="F276" s="327"/>
      <c r="G276" s="327"/>
    </row>
    <row r="277" spans="1:7">
      <c r="A277" s="315">
        <v>5</v>
      </c>
      <c r="B277" s="315" t="s">
        <v>4457</v>
      </c>
      <c r="C277" s="316" t="s">
        <v>4458</v>
      </c>
      <c r="D277" s="324"/>
      <c r="E277" s="324"/>
      <c r="F277" s="771"/>
      <c r="G277" s="771"/>
    </row>
    <row r="278" spans="1:7">
      <c r="A278" s="312">
        <v>6</v>
      </c>
      <c r="B278" s="312" t="s">
        <v>4459</v>
      </c>
      <c r="C278" s="313" t="s">
        <v>3771</v>
      </c>
      <c r="D278" s="764"/>
      <c r="E278" s="764" t="str">
        <f>+B266</f>
        <v>PDA380</v>
      </c>
      <c r="F278" s="327">
        <v>3612.51</v>
      </c>
      <c r="G278" s="327">
        <v>1615.78</v>
      </c>
    </row>
    <row r="279" spans="1:7">
      <c r="A279" s="312">
        <v>6</v>
      </c>
      <c r="B279" s="312" t="s">
        <v>4460</v>
      </c>
      <c r="C279" s="313" t="s">
        <v>3772</v>
      </c>
      <c r="D279" s="764"/>
      <c r="E279" s="764" t="str">
        <f>+E278</f>
        <v>PDA380</v>
      </c>
      <c r="F279" s="327">
        <v>299905.84000000003</v>
      </c>
      <c r="G279" s="327">
        <v>313694.75</v>
      </c>
    </row>
    <row r="280" spans="1:7">
      <c r="A280" s="312">
        <v>5</v>
      </c>
      <c r="B280" s="312" t="s">
        <v>4461</v>
      </c>
      <c r="C280" s="313" t="s">
        <v>3773</v>
      </c>
      <c r="D280" s="764"/>
      <c r="E280" s="764" t="str">
        <f t="shared" ref="E280:E281" si="10">+E279</f>
        <v>PDA380</v>
      </c>
      <c r="F280" s="327">
        <v>79883.03</v>
      </c>
      <c r="G280" s="327">
        <v>103201.59</v>
      </c>
    </row>
    <row r="281" spans="1:7">
      <c r="A281" s="312">
        <v>5</v>
      </c>
      <c r="B281" s="312" t="s">
        <v>4462</v>
      </c>
      <c r="C281" s="313" t="s">
        <v>4463</v>
      </c>
      <c r="D281" s="764"/>
      <c r="E281" s="764" t="str">
        <f t="shared" si="10"/>
        <v>PDA380</v>
      </c>
      <c r="F281" s="327">
        <v>552648.27</v>
      </c>
      <c r="G281" s="327">
        <v>251260.98</v>
      </c>
    </row>
    <row r="282" spans="1:7">
      <c r="A282" s="315">
        <v>5</v>
      </c>
      <c r="B282" s="315" t="s">
        <v>4464</v>
      </c>
      <c r="C282" s="316" t="s">
        <v>3774</v>
      </c>
      <c r="D282" s="324"/>
      <c r="E282" s="324"/>
      <c r="F282" s="771"/>
      <c r="G282" s="771"/>
    </row>
    <row r="283" spans="1:7">
      <c r="A283" s="312">
        <v>6</v>
      </c>
      <c r="B283" s="312" t="s">
        <v>4465</v>
      </c>
      <c r="C283" s="313" t="s">
        <v>4466</v>
      </c>
      <c r="D283" s="764"/>
      <c r="E283" s="764" t="str">
        <f>+B266</f>
        <v>PDA380</v>
      </c>
      <c r="F283" s="327"/>
      <c r="G283" s="327"/>
    </row>
    <row r="284" spans="1:7">
      <c r="A284" s="312">
        <v>6</v>
      </c>
      <c r="B284" s="312" t="s">
        <v>4467</v>
      </c>
      <c r="C284" s="313" t="s">
        <v>4468</v>
      </c>
      <c r="D284" s="764"/>
      <c r="E284" s="764" t="str">
        <f>+E283</f>
        <v>PDA380</v>
      </c>
      <c r="F284" s="327">
        <v>176436.08</v>
      </c>
      <c r="G284" s="327">
        <v>1037608.48</v>
      </c>
    </row>
    <row r="285" spans="1:7">
      <c r="A285" s="312">
        <v>5</v>
      </c>
      <c r="B285" s="312" t="s">
        <v>4469</v>
      </c>
      <c r="C285" s="313" t="s">
        <v>3775</v>
      </c>
      <c r="D285" s="764"/>
      <c r="E285" s="764" t="str">
        <f t="shared" ref="E285:E286" si="11">+E284</f>
        <v>PDA380</v>
      </c>
      <c r="F285" s="327">
        <v>14650.37</v>
      </c>
      <c r="G285" s="327">
        <v>9812.49</v>
      </c>
    </row>
    <row r="286" spans="1:7">
      <c r="A286" s="312">
        <v>5</v>
      </c>
      <c r="B286" s="312" t="s">
        <v>4470</v>
      </c>
      <c r="C286" s="313" t="s">
        <v>3776</v>
      </c>
      <c r="D286" s="764"/>
      <c r="E286" s="764" t="str">
        <f t="shared" si="11"/>
        <v>PDA380</v>
      </c>
      <c r="F286" s="327">
        <v>-1074.46</v>
      </c>
      <c r="G286" s="327">
        <v>0</v>
      </c>
    </row>
    <row r="287" spans="1:7">
      <c r="A287" s="760" t="s">
        <v>1960</v>
      </c>
      <c r="B287" s="310" t="s">
        <v>3448</v>
      </c>
      <c r="C287" s="310" t="s">
        <v>3449</v>
      </c>
      <c r="D287" s="321"/>
      <c r="E287" s="321"/>
      <c r="F287" s="326"/>
      <c r="G287" s="326"/>
    </row>
    <row r="288" spans="1:7">
      <c r="A288" s="760" t="s">
        <v>1963</v>
      </c>
      <c r="B288" s="310" t="s">
        <v>3450</v>
      </c>
      <c r="C288" s="310" t="s">
        <v>3451</v>
      </c>
      <c r="D288" s="321"/>
      <c r="E288" s="321"/>
      <c r="F288" s="326"/>
      <c r="G288" s="326"/>
    </row>
    <row r="289" spans="1:7">
      <c r="A289" s="760" t="s">
        <v>1965</v>
      </c>
      <c r="B289" s="310" t="s">
        <v>3452</v>
      </c>
      <c r="C289" s="310" t="s">
        <v>3453</v>
      </c>
      <c r="D289" s="321"/>
      <c r="E289" s="321"/>
      <c r="F289" s="326"/>
      <c r="G289" s="326"/>
    </row>
    <row r="290" spans="1:7">
      <c r="A290" s="312" t="s">
        <v>1967</v>
      </c>
      <c r="B290" s="312" t="s">
        <v>4471</v>
      </c>
      <c r="C290" s="313" t="s">
        <v>2828</v>
      </c>
      <c r="D290" s="764"/>
      <c r="E290" s="764" t="str">
        <f>+B289</f>
        <v>PEA010</v>
      </c>
      <c r="F290" s="327"/>
      <c r="G290" s="327"/>
    </row>
    <row r="291" spans="1:7">
      <c r="A291" s="760" t="s">
        <v>1965</v>
      </c>
      <c r="B291" s="310" t="s">
        <v>3454</v>
      </c>
      <c r="C291" s="310" t="s">
        <v>3455</v>
      </c>
      <c r="D291" s="321" t="s">
        <v>1248</v>
      </c>
      <c r="E291" s="321"/>
      <c r="F291" s="326"/>
      <c r="G291" s="326"/>
    </row>
    <row r="292" spans="1:7">
      <c r="A292" s="312" t="s">
        <v>1967</v>
      </c>
      <c r="B292" s="312" t="s">
        <v>4472</v>
      </c>
      <c r="C292" s="313" t="s">
        <v>3777</v>
      </c>
      <c r="D292" s="764" t="s">
        <v>1248</v>
      </c>
      <c r="E292" s="764" t="str">
        <f>+B291</f>
        <v>PEA020</v>
      </c>
      <c r="F292" s="327"/>
      <c r="G292" s="327"/>
    </row>
    <row r="293" spans="1:7">
      <c r="A293" s="760" t="s">
        <v>1963</v>
      </c>
      <c r="B293" s="310" t="s">
        <v>3456</v>
      </c>
      <c r="C293" s="310" t="s">
        <v>3457</v>
      </c>
      <c r="D293" s="321"/>
      <c r="E293" s="321"/>
      <c r="F293" s="326"/>
      <c r="G293" s="326"/>
    </row>
    <row r="294" spans="1:7">
      <c r="A294" s="760" t="s">
        <v>1965</v>
      </c>
      <c r="B294" s="310" t="s">
        <v>3458</v>
      </c>
      <c r="C294" s="310" t="s">
        <v>3459</v>
      </c>
      <c r="D294" s="321"/>
      <c r="E294" s="321"/>
      <c r="F294" s="326"/>
      <c r="G294" s="326"/>
    </row>
    <row r="295" spans="1:7">
      <c r="A295" s="312" t="s">
        <v>1967</v>
      </c>
      <c r="B295" s="312" t="s">
        <v>4473</v>
      </c>
      <c r="C295" s="313" t="s">
        <v>2829</v>
      </c>
      <c r="D295" s="764"/>
      <c r="E295" s="764" t="str">
        <f>+B294</f>
        <v>PEA040</v>
      </c>
      <c r="F295" s="327"/>
      <c r="G295" s="327"/>
    </row>
    <row r="296" spans="1:7">
      <c r="A296" s="760" t="s">
        <v>1965</v>
      </c>
      <c r="B296" s="310" t="s">
        <v>3460</v>
      </c>
      <c r="C296" s="310" t="s">
        <v>3461</v>
      </c>
      <c r="D296" s="321" t="s">
        <v>1248</v>
      </c>
      <c r="E296" s="321"/>
      <c r="F296" s="326"/>
      <c r="G296" s="326"/>
    </row>
    <row r="297" spans="1:7">
      <c r="A297" s="312" t="s">
        <v>1967</v>
      </c>
      <c r="B297" s="312" t="s">
        <v>4474</v>
      </c>
      <c r="C297" s="313" t="s">
        <v>3778</v>
      </c>
      <c r="D297" s="764" t="s">
        <v>1248</v>
      </c>
      <c r="E297" s="764" t="str">
        <f>+B296</f>
        <v>PEA050</v>
      </c>
      <c r="F297" s="327"/>
      <c r="G297" s="327"/>
    </row>
    <row r="298" spans="1:7" ht="25.5">
      <c r="A298" s="760" t="s">
        <v>1965</v>
      </c>
      <c r="B298" s="310" t="s">
        <v>3462</v>
      </c>
      <c r="C298" s="310" t="s">
        <v>4475</v>
      </c>
      <c r="D298" s="321"/>
      <c r="E298" s="321"/>
      <c r="F298" s="326"/>
      <c r="G298" s="326"/>
    </row>
    <row r="299" spans="1:7" ht="24">
      <c r="A299" s="312" t="s">
        <v>1967</v>
      </c>
      <c r="B299" s="312" t="s">
        <v>4476</v>
      </c>
      <c r="C299" s="313" t="s">
        <v>4477</v>
      </c>
      <c r="D299" s="764"/>
      <c r="E299" s="764" t="str">
        <f>+B298</f>
        <v>PEA060</v>
      </c>
      <c r="F299" s="327"/>
      <c r="G299" s="327"/>
    </row>
    <row r="300" spans="1:7">
      <c r="A300" s="769" t="s">
        <v>1960</v>
      </c>
      <c r="B300" s="772" t="s">
        <v>3464</v>
      </c>
      <c r="C300" s="772" t="s">
        <v>3465</v>
      </c>
      <c r="D300" s="773"/>
      <c r="E300" s="773"/>
      <c r="F300" s="774">
        <f>+SUM(F2:F299)</f>
        <v>243721454.91000009</v>
      </c>
      <c r="G300" s="774">
        <v>249702444.95359981</v>
      </c>
    </row>
    <row r="301" spans="1:7">
      <c r="A301" s="760" t="s">
        <v>1960</v>
      </c>
      <c r="B301" s="310" t="s">
        <v>3466</v>
      </c>
      <c r="C301" s="310" t="s">
        <v>3467</v>
      </c>
      <c r="D301" s="321"/>
      <c r="E301" s="321"/>
      <c r="F301" s="326"/>
      <c r="G301" s="326"/>
    </row>
    <row r="302" spans="1:7">
      <c r="A302" s="760" t="s">
        <v>1963</v>
      </c>
      <c r="B302" s="310" t="s">
        <v>3468</v>
      </c>
      <c r="C302" s="310" t="s">
        <v>3469</v>
      </c>
      <c r="D302" s="321"/>
      <c r="E302" s="321"/>
      <c r="F302" s="326"/>
      <c r="G302" s="326"/>
    </row>
    <row r="303" spans="1:7">
      <c r="A303" s="312" t="s">
        <v>1965</v>
      </c>
      <c r="B303" s="312" t="s">
        <v>4478</v>
      </c>
      <c r="C303" s="313" t="s">
        <v>4479</v>
      </c>
      <c r="D303" s="764"/>
      <c r="E303" s="764" t="str">
        <f>+B302</f>
        <v>PFA000</v>
      </c>
      <c r="F303" s="327"/>
      <c r="G303" s="327"/>
    </row>
    <row r="304" spans="1:7">
      <c r="A304" s="760" t="s">
        <v>1963</v>
      </c>
      <c r="B304" s="310" t="s">
        <v>3470</v>
      </c>
      <c r="C304" s="310" t="s">
        <v>3471</v>
      </c>
      <c r="D304" s="321"/>
      <c r="E304" s="321"/>
      <c r="F304" s="326"/>
      <c r="G304" s="326"/>
    </row>
    <row r="305" spans="1:7">
      <c r="A305" s="312" t="s">
        <v>1965</v>
      </c>
      <c r="B305" s="312" t="s">
        <v>4480</v>
      </c>
      <c r="C305" s="313" t="s">
        <v>4481</v>
      </c>
      <c r="D305" s="764"/>
      <c r="E305" s="764" t="str">
        <f>+B304</f>
        <v>PFA010</v>
      </c>
      <c r="F305" s="327"/>
      <c r="G305" s="327"/>
    </row>
    <row r="306" spans="1:7">
      <c r="A306" s="760" t="s">
        <v>1963</v>
      </c>
      <c r="B306" s="310" t="s">
        <v>3472</v>
      </c>
      <c r="C306" s="310" t="s">
        <v>3473</v>
      </c>
      <c r="D306" s="321"/>
      <c r="E306" s="321"/>
      <c r="F306" s="326"/>
      <c r="G306" s="326"/>
    </row>
    <row r="307" spans="1:7">
      <c r="A307" s="312" t="s">
        <v>1965</v>
      </c>
      <c r="B307" s="312" t="s">
        <v>4482</v>
      </c>
      <c r="C307" s="313" t="s">
        <v>4483</v>
      </c>
      <c r="D307" s="764"/>
      <c r="E307" s="764" t="str">
        <f>+B306</f>
        <v>PFA020</v>
      </c>
      <c r="F307" s="327">
        <v>347396.87</v>
      </c>
      <c r="G307" s="327">
        <v>347396.87</v>
      </c>
    </row>
    <row r="308" spans="1:7">
      <c r="A308" s="760" t="s">
        <v>1963</v>
      </c>
      <c r="B308" s="310" t="s">
        <v>3474</v>
      </c>
      <c r="C308" s="310" t="s">
        <v>3475</v>
      </c>
      <c r="D308" s="321"/>
      <c r="E308" s="321"/>
      <c r="F308" s="326"/>
      <c r="G308" s="326"/>
    </row>
    <row r="309" spans="1:7">
      <c r="A309" s="312" t="s">
        <v>1965</v>
      </c>
      <c r="B309" s="312" t="s">
        <v>4484</v>
      </c>
      <c r="C309" s="313" t="s">
        <v>4485</v>
      </c>
      <c r="D309" s="764"/>
      <c r="E309" s="764" t="str">
        <f>+B308</f>
        <v>PFA021</v>
      </c>
      <c r="F309" s="327"/>
      <c r="G309" s="327"/>
    </row>
    <row r="310" spans="1:7">
      <c r="A310" s="760" t="s">
        <v>1963</v>
      </c>
      <c r="B310" s="310" t="s">
        <v>3476</v>
      </c>
      <c r="C310" s="310" t="s">
        <v>3477</v>
      </c>
      <c r="D310" s="321"/>
      <c r="E310" s="321"/>
      <c r="F310" s="326"/>
      <c r="G310" s="326"/>
    </row>
    <row r="311" spans="1:7">
      <c r="A311" s="312">
        <v>4</v>
      </c>
      <c r="B311" s="312" t="s">
        <v>4486</v>
      </c>
      <c r="C311" s="313" t="s">
        <v>4487</v>
      </c>
      <c r="D311" s="764"/>
      <c r="E311" s="764" t="str">
        <f>+B310</f>
        <v>PFA030</v>
      </c>
      <c r="F311" s="327"/>
      <c r="G311" s="327"/>
    </row>
    <row r="312" spans="1:7">
      <c r="A312" s="312">
        <v>4</v>
      </c>
      <c r="B312" s="312" t="s">
        <v>4488</v>
      </c>
      <c r="C312" s="313" t="s">
        <v>4489</v>
      </c>
      <c r="D312" s="764"/>
      <c r="E312" s="764" t="str">
        <f>+E311</f>
        <v>PFA030</v>
      </c>
      <c r="F312" s="327"/>
      <c r="G312" s="327"/>
    </row>
    <row r="313" spans="1:7">
      <c r="A313" s="312">
        <v>4</v>
      </c>
      <c r="B313" s="312" t="s">
        <v>4490</v>
      </c>
      <c r="C313" s="313" t="s">
        <v>4491</v>
      </c>
      <c r="D313" s="764"/>
      <c r="E313" s="764" t="str">
        <f t="shared" ref="E313:E315" si="12">+E312</f>
        <v>PFA030</v>
      </c>
      <c r="F313" s="327"/>
      <c r="G313" s="327"/>
    </row>
    <row r="314" spans="1:7">
      <c r="A314" s="312">
        <v>4</v>
      </c>
      <c r="B314" s="312" t="s">
        <v>4492</v>
      </c>
      <c r="C314" s="313" t="s">
        <v>4493</v>
      </c>
      <c r="D314" s="764"/>
      <c r="E314" s="764" t="str">
        <f t="shared" si="12"/>
        <v>PFA030</v>
      </c>
      <c r="F314" s="327"/>
      <c r="G314" s="327"/>
    </row>
    <row r="315" spans="1:7">
      <c r="A315" s="312">
        <v>4</v>
      </c>
      <c r="B315" s="312" t="s">
        <v>4494</v>
      </c>
      <c r="C315" s="313" t="s">
        <v>4495</v>
      </c>
      <c r="D315" s="764"/>
      <c r="E315" s="764" t="str">
        <f t="shared" si="12"/>
        <v>PFA030</v>
      </c>
      <c r="F315" s="327"/>
      <c r="G315" s="327"/>
    </row>
    <row r="317" spans="1:7">
      <c r="F317" s="210">
        <f>+F300-'SP Att Alim'!F434</f>
        <v>0</v>
      </c>
    </row>
  </sheetData>
  <autoFilter ref="A1:G315"/>
  <conditionalFormatting sqref="C2:C258 C260:C3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topLeftCell="A79" workbookViewId="0">
      <selection activeCell="F7" sqref="F7:F10"/>
    </sheetView>
  </sheetViews>
  <sheetFormatPr defaultRowHeight="12.75"/>
  <cols>
    <col min="1" max="1" width="6.28515625" style="730" customWidth="1"/>
    <col min="2" max="2" width="60.42578125" style="730" customWidth="1"/>
    <col min="3" max="3" width="15" style="809" customWidth="1"/>
    <col min="4" max="4" width="14.85546875" style="755" customWidth="1"/>
    <col min="5" max="5" width="12" style="729" bestFit="1" customWidth="1"/>
    <col min="6" max="6" width="85.28515625" style="729" bestFit="1" customWidth="1"/>
    <col min="7" max="251" width="8.85546875" style="730"/>
    <col min="252" max="252" width="6.28515625" style="730" customWidth="1"/>
    <col min="253" max="253" width="72.28515625" style="730" bestFit="1" customWidth="1"/>
    <col min="254" max="254" width="15" style="730" customWidth="1"/>
    <col min="255" max="255" width="14.85546875" style="730" customWidth="1"/>
    <col min="256" max="256" width="8.5703125" style="730" customWidth="1"/>
    <col min="257" max="507" width="8.85546875" style="730"/>
    <col min="508" max="508" width="6.28515625" style="730" customWidth="1"/>
    <col min="509" max="509" width="72.28515625" style="730" bestFit="1" customWidth="1"/>
    <col min="510" max="510" width="15" style="730" customWidth="1"/>
    <col min="511" max="511" width="14.85546875" style="730" customWidth="1"/>
    <col min="512" max="512" width="8.5703125" style="730" customWidth="1"/>
    <col min="513" max="763" width="8.85546875" style="730"/>
    <col min="764" max="764" width="6.28515625" style="730" customWidth="1"/>
    <col min="765" max="765" width="72.28515625" style="730" bestFit="1" customWidth="1"/>
    <col min="766" max="766" width="15" style="730" customWidth="1"/>
    <col min="767" max="767" width="14.85546875" style="730" customWidth="1"/>
    <col min="768" max="768" width="8.5703125" style="730" customWidth="1"/>
    <col min="769" max="1019" width="8.85546875" style="730"/>
    <col min="1020" max="1020" width="6.28515625" style="730" customWidth="1"/>
    <col min="1021" max="1021" width="72.28515625" style="730" bestFit="1" customWidth="1"/>
    <col min="1022" max="1022" width="15" style="730" customWidth="1"/>
    <col min="1023" max="1023" width="14.85546875" style="730" customWidth="1"/>
    <col min="1024" max="1024" width="8.5703125" style="730" customWidth="1"/>
    <col min="1025" max="1275" width="8.85546875" style="730"/>
    <col min="1276" max="1276" width="6.28515625" style="730" customWidth="1"/>
    <col min="1277" max="1277" width="72.28515625" style="730" bestFit="1" customWidth="1"/>
    <col min="1278" max="1278" width="15" style="730" customWidth="1"/>
    <col min="1279" max="1279" width="14.85546875" style="730" customWidth="1"/>
    <col min="1280" max="1280" width="8.5703125" style="730" customWidth="1"/>
    <col min="1281" max="1531" width="8.85546875" style="730"/>
    <col min="1532" max="1532" width="6.28515625" style="730" customWidth="1"/>
    <col min="1533" max="1533" width="72.28515625" style="730" bestFit="1" customWidth="1"/>
    <col min="1534" max="1534" width="15" style="730" customWidth="1"/>
    <col min="1535" max="1535" width="14.85546875" style="730" customWidth="1"/>
    <col min="1536" max="1536" width="8.5703125" style="730" customWidth="1"/>
    <col min="1537" max="1787" width="8.85546875" style="730"/>
    <col min="1788" max="1788" width="6.28515625" style="730" customWidth="1"/>
    <col min="1789" max="1789" width="72.28515625" style="730" bestFit="1" customWidth="1"/>
    <col min="1790" max="1790" width="15" style="730" customWidth="1"/>
    <col min="1791" max="1791" width="14.85546875" style="730" customWidth="1"/>
    <col min="1792" max="1792" width="8.5703125" style="730" customWidth="1"/>
    <col min="1793" max="2043" width="8.85546875" style="730"/>
    <col min="2044" max="2044" width="6.28515625" style="730" customWidth="1"/>
    <col min="2045" max="2045" width="72.28515625" style="730" bestFit="1" customWidth="1"/>
    <col min="2046" max="2046" width="15" style="730" customWidth="1"/>
    <col min="2047" max="2047" width="14.85546875" style="730" customWidth="1"/>
    <col min="2048" max="2048" width="8.5703125" style="730" customWidth="1"/>
    <col min="2049" max="2299" width="8.85546875" style="730"/>
    <col min="2300" max="2300" width="6.28515625" style="730" customWidth="1"/>
    <col min="2301" max="2301" width="72.28515625" style="730" bestFit="1" customWidth="1"/>
    <col min="2302" max="2302" width="15" style="730" customWidth="1"/>
    <col min="2303" max="2303" width="14.85546875" style="730" customWidth="1"/>
    <col min="2304" max="2304" width="8.5703125" style="730" customWidth="1"/>
    <col min="2305" max="2555" width="8.85546875" style="730"/>
    <col min="2556" max="2556" width="6.28515625" style="730" customWidth="1"/>
    <col min="2557" max="2557" width="72.28515625" style="730" bestFit="1" customWidth="1"/>
    <col min="2558" max="2558" width="15" style="730" customWidth="1"/>
    <col min="2559" max="2559" width="14.85546875" style="730" customWidth="1"/>
    <col min="2560" max="2560" width="8.5703125" style="730" customWidth="1"/>
    <col min="2561" max="2811" width="8.85546875" style="730"/>
    <col min="2812" max="2812" width="6.28515625" style="730" customWidth="1"/>
    <col min="2813" max="2813" width="72.28515625" style="730" bestFit="1" customWidth="1"/>
    <col min="2814" max="2814" width="15" style="730" customWidth="1"/>
    <col min="2815" max="2815" width="14.85546875" style="730" customWidth="1"/>
    <col min="2816" max="2816" width="8.5703125" style="730" customWidth="1"/>
    <col min="2817" max="3067" width="8.85546875" style="730"/>
    <col min="3068" max="3068" width="6.28515625" style="730" customWidth="1"/>
    <col min="3069" max="3069" width="72.28515625" style="730" bestFit="1" customWidth="1"/>
    <col min="3070" max="3070" width="15" style="730" customWidth="1"/>
    <col min="3071" max="3071" width="14.85546875" style="730" customWidth="1"/>
    <col min="3072" max="3072" width="8.5703125" style="730" customWidth="1"/>
    <col min="3073" max="3323" width="8.85546875" style="730"/>
    <col min="3324" max="3324" width="6.28515625" style="730" customWidth="1"/>
    <col min="3325" max="3325" width="72.28515625" style="730" bestFit="1" customWidth="1"/>
    <col min="3326" max="3326" width="15" style="730" customWidth="1"/>
    <col min="3327" max="3327" width="14.85546875" style="730" customWidth="1"/>
    <col min="3328" max="3328" width="8.5703125" style="730" customWidth="1"/>
    <col min="3329" max="3579" width="8.85546875" style="730"/>
    <col min="3580" max="3580" width="6.28515625" style="730" customWidth="1"/>
    <col min="3581" max="3581" width="72.28515625" style="730" bestFit="1" customWidth="1"/>
    <col min="3582" max="3582" width="15" style="730" customWidth="1"/>
    <col min="3583" max="3583" width="14.85546875" style="730" customWidth="1"/>
    <col min="3584" max="3584" width="8.5703125" style="730" customWidth="1"/>
    <col min="3585" max="3835" width="8.85546875" style="730"/>
    <col min="3836" max="3836" width="6.28515625" style="730" customWidth="1"/>
    <col min="3837" max="3837" width="72.28515625" style="730" bestFit="1" customWidth="1"/>
    <col min="3838" max="3838" width="15" style="730" customWidth="1"/>
    <col min="3839" max="3839" width="14.85546875" style="730" customWidth="1"/>
    <col min="3840" max="3840" width="8.5703125" style="730" customWidth="1"/>
    <col min="3841" max="4091" width="8.85546875" style="730"/>
    <col min="4092" max="4092" width="6.28515625" style="730" customWidth="1"/>
    <col min="4093" max="4093" width="72.28515625" style="730" bestFit="1" customWidth="1"/>
    <col min="4094" max="4094" width="15" style="730" customWidth="1"/>
    <col min="4095" max="4095" width="14.85546875" style="730" customWidth="1"/>
    <col min="4096" max="4096" width="8.5703125" style="730" customWidth="1"/>
    <col min="4097" max="4347" width="8.85546875" style="730"/>
    <col min="4348" max="4348" width="6.28515625" style="730" customWidth="1"/>
    <col min="4349" max="4349" width="72.28515625" style="730" bestFit="1" customWidth="1"/>
    <col min="4350" max="4350" width="15" style="730" customWidth="1"/>
    <col min="4351" max="4351" width="14.85546875" style="730" customWidth="1"/>
    <col min="4352" max="4352" width="8.5703125" style="730" customWidth="1"/>
    <col min="4353" max="4603" width="8.85546875" style="730"/>
    <col min="4604" max="4604" width="6.28515625" style="730" customWidth="1"/>
    <col min="4605" max="4605" width="72.28515625" style="730" bestFit="1" customWidth="1"/>
    <col min="4606" max="4606" width="15" style="730" customWidth="1"/>
    <col min="4607" max="4607" width="14.85546875" style="730" customWidth="1"/>
    <col min="4608" max="4608" width="8.5703125" style="730" customWidth="1"/>
    <col min="4609" max="4859" width="8.85546875" style="730"/>
    <col min="4860" max="4860" width="6.28515625" style="730" customWidth="1"/>
    <col min="4861" max="4861" width="72.28515625" style="730" bestFit="1" customWidth="1"/>
    <col min="4862" max="4862" width="15" style="730" customWidth="1"/>
    <col min="4863" max="4863" width="14.85546875" style="730" customWidth="1"/>
    <col min="4864" max="4864" width="8.5703125" style="730" customWidth="1"/>
    <col min="4865" max="5115" width="8.85546875" style="730"/>
    <col min="5116" max="5116" width="6.28515625" style="730" customWidth="1"/>
    <col min="5117" max="5117" width="72.28515625" style="730" bestFit="1" customWidth="1"/>
    <col min="5118" max="5118" width="15" style="730" customWidth="1"/>
    <col min="5119" max="5119" width="14.85546875" style="730" customWidth="1"/>
    <col min="5120" max="5120" width="8.5703125" style="730" customWidth="1"/>
    <col min="5121" max="5371" width="8.85546875" style="730"/>
    <col min="5372" max="5372" width="6.28515625" style="730" customWidth="1"/>
    <col min="5373" max="5373" width="72.28515625" style="730" bestFit="1" customWidth="1"/>
    <col min="5374" max="5374" width="15" style="730" customWidth="1"/>
    <col min="5375" max="5375" width="14.85546875" style="730" customWidth="1"/>
    <col min="5376" max="5376" width="8.5703125" style="730" customWidth="1"/>
    <col min="5377" max="5627" width="8.85546875" style="730"/>
    <col min="5628" max="5628" width="6.28515625" style="730" customWidth="1"/>
    <col min="5629" max="5629" width="72.28515625" style="730" bestFit="1" customWidth="1"/>
    <col min="5630" max="5630" width="15" style="730" customWidth="1"/>
    <col min="5631" max="5631" width="14.85546875" style="730" customWidth="1"/>
    <col min="5632" max="5632" width="8.5703125" style="730" customWidth="1"/>
    <col min="5633" max="5883" width="8.85546875" style="730"/>
    <col min="5884" max="5884" width="6.28515625" style="730" customWidth="1"/>
    <col min="5885" max="5885" width="72.28515625" style="730" bestFit="1" customWidth="1"/>
    <col min="5886" max="5886" width="15" style="730" customWidth="1"/>
    <col min="5887" max="5887" width="14.85546875" style="730" customWidth="1"/>
    <col min="5888" max="5888" width="8.5703125" style="730" customWidth="1"/>
    <col min="5889" max="6139" width="8.85546875" style="730"/>
    <col min="6140" max="6140" width="6.28515625" style="730" customWidth="1"/>
    <col min="6141" max="6141" width="72.28515625" style="730" bestFit="1" customWidth="1"/>
    <col min="6142" max="6142" width="15" style="730" customWidth="1"/>
    <col min="6143" max="6143" width="14.85546875" style="730" customWidth="1"/>
    <col min="6144" max="6144" width="8.5703125" style="730" customWidth="1"/>
    <col min="6145" max="6395" width="8.85546875" style="730"/>
    <col min="6396" max="6396" width="6.28515625" style="730" customWidth="1"/>
    <col min="6397" max="6397" width="72.28515625" style="730" bestFit="1" customWidth="1"/>
    <col min="6398" max="6398" width="15" style="730" customWidth="1"/>
    <col min="6399" max="6399" width="14.85546875" style="730" customWidth="1"/>
    <col min="6400" max="6400" width="8.5703125" style="730" customWidth="1"/>
    <col min="6401" max="6651" width="8.85546875" style="730"/>
    <col min="6652" max="6652" width="6.28515625" style="730" customWidth="1"/>
    <col min="6653" max="6653" width="72.28515625" style="730" bestFit="1" customWidth="1"/>
    <col min="6654" max="6654" width="15" style="730" customWidth="1"/>
    <col min="6655" max="6655" width="14.85546875" style="730" customWidth="1"/>
    <col min="6656" max="6656" width="8.5703125" style="730" customWidth="1"/>
    <col min="6657" max="6907" width="8.85546875" style="730"/>
    <col min="6908" max="6908" width="6.28515625" style="730" customWidth="1"/>
    <col min="6909" max="6909" width="72.28515625" style="730" bestFit="1" customWidth="1"/>
    <col min="6910" max="6910" width="15" style="730" customWidth="1"/>
    <col min="6911" max="6911" width="14.85546875" style="730" customWidth="1"/>
    <col min="6912" max="6912" width="8.5703125" style="730" customWidth="1"/>
    <col min="6913" max="7163" width="8.85546875" style="730"/>
    <col min="7164" max="7164" width="6.28515625" style="730" customWidth="1"/>
    <col min="7165" max="7165" width="72.28515625" style="730" bestFit="1" customWidth="1"/>
    <col min="7166" max="7166" width="15" style="730" customWidth="1"/>
    <col min="7167" max="7167" width="14.85546875" style="730" customWidth="1"/>
    <col min="7168" max="7168" width="8.5703125" style="730" customWidth="1"/>
    <col min="7169" max="7419" width="8.85546875" style="730"/>
    <col min="7420" max="7420" width="6.28515625" style="730" customWidth="1"/>
    <col min="7421" max="7421" width="72.28515625" style="730" bestFit="1" customWidth="1"/>
    <col min="7422" max="7422" width="15" style="730" customWidth="1"/>
    <col min="7423" max="7423" width="14.85546875" style="730" customWidth="1"/>
    <col min="7424" max="7424" width="8.5703125" style="730" customWidth="1"/>
    <col min="7425" max="7675" width="8.85546875" style="730"/>
    <col min="7676" max="7676" width="6.28515625" style="730" customWidth="1"/>
    <col min="7677" max="7677" width="72.28515625" style="730" bestFit="1" customWidth="1"/>
    <col min="7678" max="7678" width="15" style="730" customWidth="1"/>
    <col min="7679" max="7679" width="14.85546875" style="730" customWidth="1"/>
    <col min="7680" max="7680" width="8.5703125" style="730" customWidth="1"/>
    <col min="7681" max="7931" width="8.85546875" style="730"/>
    <col min="7932" max="7932" width="6.28515625" style="730" customWidth="1"/>
    <col min="7933" max="7933" width="72.28515625" style="730" bestFit="1" customWidth="1"/>
    <col min="7934" max="7934" width="15" style="730" customWidth="1"/>
    <col min="7935" max="7935" width="14.85546875" style="730" customWidth="1"/>
    <col min="7936" max="7936" width="8.5703125" style="730" customWidth="1"/>
    <col min="7937" max="8187" width="8.85546875" style="730"/>
    <col min="8188" max="8188" width="6.28515625" style="730" customWidth="1"/>
    <col min="8189" max="8189" width="72.28515625" style="730" bestFit="1" customWidth="1"/>
    <col min="8190" max="8190" width="15" style="730" customWidth="1"/>
    <col min="8191" max="8191" width="14.85546875" style="730" customWidth="1"/>
    <col min="8192" max="8192" width="8.5703125" style="730" customWidth="1"/>
    <col min="8193" max="8443" width="8.85546875" style="730"/>
    <col min="8444" max="8444" width="6.28515625" style="730" customWidth="1"/>
    <col min="8445" max="8445" width="72.28515625" style="730" bestFit="1" customWidth="1"/>
    <col min="8446" max="8446" width="15" style="730" customWidth="1"/>
    <col min="8447" max="8447" width="14.85546875" style="730" customWidth="1"/>
    <col min="8448" max="8448" width="8.5703125" style="730" customWidth="1"/>
    <col min="8449" max="8699" width="8.85546875" style="730"/>
    <col min="8700" max="8700" width="6.28515625" style="730" customWidth="1"/>
    <col min="8701" max="8701" width="72.28515625" style="730" bestFit="1" customWidth="1"/>
    <col min="8702" max="8702" width="15" style="730" customWidth="1"/>
    <col min="8703" max="8703" width="14.85546875" style="730" customWidth="1"/>
    <col min="8704" max="8704" width="8.5703125" style="730" customWidth="1"/>
    <col min="8705" max="8955" width="8.85546875" style="730"/>
    <col min="8956" max="8956" width="6.28515625" style="730" customWidth="1"/>
    <col min="8957" max="8957" width="72.28515625" style="730" bestFit="1" customWidth="1"/>
    <col min="8958" max="8958" width="15" style="730" customWidth="1"/>
    <col min="8959" max="8959" width="14.85546875" style="730" customWidth="1"/>
    <col min="8960" max="8960" width="8.5703125" style="730" customWidth="1"/>
    <col min="8961" max="9211" width="8.85546875" style="730"/>
    <col min="9212" max="9212" width="6.28515625" style="730" customWidth="1"/>
    <col min="9213" max="9213" width="72.28515625" style="730" bestFit="1" customWidth="1"/>
    <col min="9214" max="9214" width="15" style="730" customWidth="1"/>
    <col min="9215" max="9215" width="14.85546875" style="730" customWidth="1"/>
    <col min="9216" max="9216" width="8.5703125" style="730" customWidth="1"/>
    <col min="9217" max="9467" width="8.85546875" style="730"/>
    <col min="9468" max="9468" width="6.28515625" style="730" customWidth="1"/>
    <col min="9469" max="9469" width="72.28515625" style="730" bestFit="1" customWidth="1"/>
    <col min="9470" max="9470" width="15" style="730" customWidth="1"/>
    <col min="9471" max="9471" width="14.85546875" style="730" customWidth="1"/>
    <col min="9472" max="9472" width="8.5703125" style="730" customWidth="1"/>
    <col min="9473" max="9723" width="8.85546875" style="730"/>
    <col min="9724" max="9724" width="6.28515625" style="730" customWidth="1"/>
    <col min="9725" max="9725" width="72.28515625" style="730" bestFit="1" customWidth="1"/>
    <col min="9726" max="9726" width="15" style="730" customWidth="1"/>
    <col min="9727" max="9727" width="14.85546875" style="730" customWidth="1"/>
    <col min="9728" max="9728" width="8.5703125" style="730" customWidth="1"/>
    <col min="9729" max="9979" width="8.85546875" style="730"/>
    <col min="9980" max="9980" width="6.28515625" style="730" customWidth="1"/>
    <col min="9981" max="9981" width="72.28515625" style="730" bestFit="1" customWidth="1"/>
    <col min="9982" max="9982" width="15" style="730" customWidth="1"/>
    <col min="9983" max="9983" width="14.85546875" style="730" customWidth="1"/>
    <col min="9984" max="9984" width="8.5703125" style="730" customWidth="1"/>
    <col min="9985" max="10235" width="8.85546875" style="730"/>
    <col min="10236" max="10236" width="6.28515625" style="730" customWidth="1"/>
    <col min="10237" max="10237" width="72.28515625" style="730" bestFit="1" customWidth="1"/>
    <col min="10238" max="10238" width="15" style="730" customWidth="1"/>
    <col min="10239" max="10239" width="14.85546875" style="730" customWidth="1"/>
    <col min="10240" max="10240" width="8.5703125" style="730" customWidth="1"/>
    <col min="10241" max="10491" width="8.85546875" style="730"/>
    <col min="10492" max="10492" width="6.28515625" style="730" customWidth="1"/>
    <col min="10493" max="10493" width="72.28515625" style="730" bestFit="1" customWidth="1"/>
    <col min="10494" max="10494" width="15" style="730" customWidth="1"/>
    <col min="10495" max="10495" width="14.85546875" style="730" customWidth="1"/>
    <col min="10496" max="10496" width="8.5703125" style="730" customWidth="1"/>
    <col min="10497" max="10747" width="8.85546875" style="730"/>
    <col min="10748" max="10748" width="6.28515625" style="730" customWidth="1"/>
    <col min="10749" max="10749" width="72.28515625" style="730" bestFit="1" customWidth="1"/>
    <col min="10750" max="10750" width="15" style="730" customWidth="1"/>
    <col min="10751" max="10751" width="14.85546875" style="730" customWidth="1"/>
    <col min="10752" max="10752" width="8.5703125" style="730" customWidth="1"/>
    <col min="10753" max="11003" width="8.85546875" style="730"/>
    <col min="11004" max="11004" width="6.28515625" style="730" customWidth="1"/>
    <col min="11005" max="11005" width="72.28515625" style="730" bestFit="1" customWidth="1"/>
    <col min="11006" max="11006" width="15" style="730" customWidth="1"/>
    <col min="11007" max="11007" width="14.85546875" style="730" customWidth="1"/>
    <col min="11008" max="11008" width="8.5703125" style="730" customWidth="1"/>
    <col min="11009" max="11259" width="8.85546875" style="730"/>
    <col min="11260" max="11260" width="6.28515625" style="730" customWidth="1"/>
    <col min="11261" max="11261" width="72.28515625" style="730" bestFit="1" customWidth="1"/>
    <col min="11262" max="11262" width="15" style="730" customWidth="1"/>
    <col min="11263" max="11263" width="14.85546875" style="730" customWidth="1"/>
    <col min="11264" max="11264" width="8.5703125" style="730" customWidth="1"/>
    <col min="11265" max="11515" width="8.85546875" style="730"/>
    <col min="11516" max="11516" width="6.28515625" style="730" customWidth="1"/>
    <col min="11517" max="11517" width="72.28515625" style="730" bestFit="1" customWidth="1"/>
    <col min="11518" max="11518" width="15" style="730" customWidth="1"/>
    <col min="11519" max="11519" width="14.85546875" style="730" customWidth="1"/>
    <col min="11520" max="11520" width="8.5703125" style="730" customWidth="1"/>
    <col min="11521" max="11771" width="8.85546875" style="730"/>
    <col min="11772" max="11772" width="6.28515625" style="730" customWidth="1"/>
    <col min="11773" max="11773" width="72.28515625" style="730" bestFit="1" customWidth="1"/>
    <col min="11774" max="11774" width="15" style="730" customWidth="1"/>
    <col min="11775" max="11775" width="14.85546875" style="730" customWidth="1"/>
    <col min="11776" max="11776" width="8.5703125" style="730" customWidth="1"/>
    <col min="11777" max="12027" width="8.85546875" style="730"/>
    <col min="12028" max="12028" width="6.28515625" style="730" customWidth="1"/>
    <col min="12029" max="12029" width="72.28515625" style="730" bestFit="1" customWidth="1"/>
    <col min="12030" max="12030" width="15" style="730" customWidth="1"/>
    <col min="12031" max="12031" width="14.85546875" style="730" customWidth="1"/>
    <col min="12032" max="12032" width="8.5703125" style="730" customWidth="1"/>
    <col min="12033" max="12283" width="8.85546875" style="730"/>
    <col min="12284" max="12284" width="6.28515625" style="730" customWidth="1"/>
    <col min="12285" max="12285" width="72.28515625" style="730" bestFit="1" customWidth="1"/>
    <col min="12286" max="12286" width="15" style="730" customWidth="1"/>
    <col min="12287" max="12287" width="14.85546875" style="730" customWidth="1"/>
    <col min="12288" max="12288" width="8.5703125" style="730" customWidth="1"/>
    <col min="12289" max="12539" width="8.85546875" style="730"/>
    <col min="12540" max="12540" width="6.28515625" style="730" customWidth="1"/>
    <col min="12541" max="12541" width="72.28515625" style="730" bestFit="1" customWidth="1"/>
    <col min="12542" max="12542" width="15" style="730" customWidth="1"/>
    <col min="12543" max="12543" width="14.85546875" style="730" customWidth="1"/>
    <col min="12544" max="12544" width="8.5703125" style="730" customWidth="1"/>
    <col min="12545" max="12795" width="8.85546875" style="730"/>
    <col min="12796" max="12796" width="6.28515625" style="730" customWidth="1"/>
    <col min="12797" max="12797" width="72.28515625" style="730" bestFit="1" customWidth="1"/>
    <col min="12798" max="12798" width="15" style="730" customWidth="1"/>
    <col min="12799" max="12799" width="14.85546875" style="730" customWidth="1"/>
    <col min="12800" max="12800" width="8.5703125" style="730" customWidth="1"/>
    <col min="12801" max="13051" width="8.85546875" style="730"/>
    <col min="13052" max="13052" width="6.28515625" style="730" customWidth="1"/>
    <col min="13053" max="13053" width="72.28515625" style="730" bestFit="1" customWidth="1"/>
    <col min="13054" max="13054" width="15" style="730" customWidth="1"/>
    <col min="13055" max="13055" width="14.85546875" style="730" customWidth="1"/>
    <col min="13056" max="13056" width="8.5703125" style="730" customWidth="1"/>
    <col min="13057" max="13307" width="8.85546875" style="730"/>
    <col min="13308" max="13308" width="6.28515625" style="730" customWidth="1"/>
    <col min="13309" max="13309" width="72.28515625" style="730" bestFit="1" customWidth="1"/>
    <col min="13310" max="13310" width="15" style="730" customWidth="1"/>
    <col min="13311" max="13311" width="14.85546875" style="730" customWidth="1"/>
    <col min="13312" max="13312" width="8.5703125" style="730" customWidth="1"/>
    <col min="13313" max="13563" width="8.85546875" style="730"/>
    <col min="13564" max="13564" width="6.28515625" style="730" customWidth="1"/>
    <col min="13565" max="13565" width="72.28515625" style="730" bestFit="1" customWidth="1"/>
    <col min="13566" max="13566" width="15" style="730" customWidth="1"/>
    <col min="13567" max="13567" width="14.85546875" style="730" customWidth="1"/>
    <col min="13568" max="13568" width="8.5703125" style="730" customWidth="1"/>
    <col min="13569" max="13819" width="8.85546875" style="730"/>
    <col min="13820" max="13820" width="6.28515625" style="730" customWidth="1"/>
    <col min="13821" max="13821" width="72.28515625" style="730" bestFit="1" customWidth="1"/>
    <col min="13822" max="13822" width="15" style="730" customWidth="1"/>
    <col min="13823" max="13823" width="14.85546875" style="730" customWidth="1"/>
    <col min="13824" max="13824" width="8.5703125" style="730" customWidth="1"/>
    <col min="13825" max="14075" width="8.85546875" style="730"/>
    <col min="14076" max="14076" width="6.28515625" style="730" customWidth="1"/>
    <col min="14077" max="14077" width="72.28515625" style="730" bestFit="1" customWidth="1"/>
    <col min="14078" max="14078" width="15" style="730" customWidth="1"/>
    <col min="14079" max="14079" width="14.85546875" style="730" customWidth="1"/>
    <col min="14080" max="14080" width="8.5703125" style="730" customWidth="1"/>
    <col min="14081" max="14331" width="8.85546875" style="730"/>
    <col min="14332" max="14332" width="6.28515625" style="730" customWidth="1"/>
    <col min="14333" max="14333" width="72.28515625" style="730" bestFit="1" customWidth="1"/>
    <col min="14334" max="14334" width="15" style="730" customWidth="1"/>
    <col min="14335" max="14335" width="14.85546875" style="730" customWidth="1"/>
    <col min="14336" max="14336" width="8.5703125" style="730" customWidth="1"/>
    <col min="14337" max="14587" width="8.85546875" style="730"/>
    <col min="14588" max="14588" width="6.28515625" style="730" customWidth="1"/>
    <col min="14589" max="14589" width="72.28515625" style="730" bestFit="1" customWidth="1"/>
    <col min="14590" max="14590" width="15" style="730" customWidth="1"/>
    <col min="14591" max="14591" width="14.85546875" style="730" customWidth="1"/>
    <col min="14592" max="14592" width="8.5703125" style="730" customWidth="1"/>
    <col min="14593" max="14843" width="8.85546875" style="730"/>
    <col min="14844" max="14844" width="6.28515625" style="730" customWidth="1"/>
    <col min="14845" max="14845" width="72.28515625" style="730" bestFit="1" customWidth="1"/>
    <col min="14846" max="14846" width="15" style="730" customWidth="1"/>
    <col min="14847" max="14847" width="14.85546875" style="730" customWidth="1"/>
    <col min="14848" max="14848" width="8.5703125" style="730" customWidth="1"/>
    <col min="14849" max="15099" width="8.85546875" style="730"/>
    <col min="15100" max="15100" width="6.28515625" style="730" customWidth="1"/>
    <col min="15101" max="15101" width="72.28515625" style="730" bestFit="1" customWidth="1"/>
    <col min="15102" max="15102" width="15" style="730" customWidth="1"/>
    <col min="15103" max="15103" width="14.85546875" style="730" customWidth="1"/>
    <col min="15104" max="15104" width="8.5703125" style="730" customWidth="1"/>
    <col min="15105" max="15355" width="8.85546875" style="730"/>
    <col min="15356" max="15356" width="6.28515625" style="730" customWidth="1"/>
    <col min="15357" max="15357" width="72.28515625" style="730" bestFit="1" customWidth="1"/>
    <col min="15358" max="15358" width="15" style="730" customWidth="1"/>
    <col min="15359" max="15359" width="14.85546875" style="730" customWidth="1"/>
    <col min="15360" max="15360" width="8.5703125" style="730" customWidth="1"/>
    <col min="15361" max="15611" width="8.85546875" style="730"/>
    <col min="15612" max="15612" width="6.28515625" style="730" customWidth="1"/>
    <col min="15613" max="15613" width="72.28515625" style="730" bestFit="1" customWidth="1"/>
    <col min="15614" max="15614" width="15" style="730" customWidth="1"/>
    <col min="15615" max="15615" width="14.85546875" style="730" customWidth="1"/>
    <col min="15616" max="15616" width="8.5703125" style="730" customWidth="1"/>
    <col min="15617" max="15867" width="8.85546875" style="730"/>
    <col min="15868" max="15868" width="6.28515625" style="730" customWidth="1"/>
    <col min="15869" max="15869" width="72.28515625" style="730" bestFit="1" customWidth="1"/>
    <col min="15870" max="15870" width="15" style="730" customWidth="1"/>
    <col min="15871" max="15871" width="14.85546875" style="730" customWidth="1"/>
    <col min="15872" max="15872" width="8.5703125" style="730" customWidth="1"/>
    <col min="15873" max="16123" width="8.85546875" style="730"/>
    <col min="16124" max="16124" width="6.28515625" style="730" customWidth="1"/>
    <col min="16125" max="16125" width="72.28515625" style="730" bestFit="1" customWidth="1"/>
    <col min="16126" max="16126" width="15" style="730" customWidth="1"/>
    <col min="16127" max="16127" width="14.85546875" style="730" customWidth="1"/>
    <col min="16128" max="16128" width="8.5703125" style="730" customWidth="1"/>
    <col min="16129" max="16384" width="8.85546875" style="730"/>
  </cols>
  <sheetData>
    <row r="1" spans="1:7">
      <c r="A1" s="884" t="s">
        <v>3779</v>
      </c>
      <c r="B1" s="884"/>
      <c r="C1" s="777" t="s">
        <v>3900</v>
      </c>
      <c r="D1" s="777" t="s">
        <v>3780</v>
      </c>
    </row>
    <row r="2" spans="1:7">
      <c r="A2" s="731"/>
      <c r="B2" s="731"/>
      <c r="C2" s="805"/>
      <c r="D2" s="779"/>
      <c r="E2" s="730"/>
    </row>
    <row r="3" spans="1:7">
      <c r="A3" s="732" t="s">
        <v>3781</v>
      </c>
      <c r="B3" s="733"/>
      <c r="C3" s="778"/>
      <c r="D3" s="787"/>
      <c r="E3" s="730"/>
    </row>
    <row r="4" spans="1:7">
      <c r="A4" s="734" t="s">
        <v>3782</v>
      </c>
      <c r="B4" s="734" t="s">
        <v>3783</v>
      </c>
      <c r="C4" s="779">
        <f>+'Schema SP'!I122</f>
        <v>847307</v>
      </c>
      <c r="D4" s="785">
        <v>2874961</v>
      </c>
      <c r="E4" s="730"/>
    </row>
    <row r="5" spans="1:7">
      <c r="A5" s="734"/>
      <c r="B5" s="735" t="s">
        <v>3784</v>
      </c>
      <c r="C5" s="806"/>
      <c r="D5" s="790"/>
      <c r="E5" s="730"/>
    </row>
    <row r="6" spans="1:7">
      <c r="A6" s="736" t="s">
        <v>3782</v>
      </c>
      <c r="B6" s="737" t="s">
        <v>3785</v>
      </c>
      <c r="C6" s="780">
        <f>+'Alim CE Costi'!E994+'Alim CE Costi'!E996</f>
        <v>0</v>
      </c>
      <c r="D6" s="780">
        <v>0</v>
      </c>
      <c r="E6" s="730"/>
    </row>
    <row r="7" spans="1:7">
      <c r="A7" s="736" t="s">
        <v>3782</v>
      </c>
      <c r="B7" s="737" t="s">
        <v>3786</v>
      </c>
      <c r="C7" s="780">
        <f>+'Alim CE Costi'!E998+'Alim CE Costi'!E999+'Alim CE Costi'!E1000+'Alim CE Costi'!E1001+'Alim CE Costi'!E1002</f>
        <v>184706.49</v>
      </c>
      <c r="D7" s="780">
        <v>161356.37</v>
      </c>
      <c r="E7" s="730"/>
      <c r="F7" s="804"/>
    </row>
    <row r="8" spans="1:7">
      <c r="A8" s="736" t="s">
        <v>3782</v>
      </c>
      <c r="B8" s="737" t="s">
        <v>3787</v>
      </c>
      <c r="C8" s="780">
        <f>+'Alim CE Costi'!E983+'Alim CE Costi'!E984+'Alim CE Costi'!E985+'Alim CE Costi'!E986+'Alim CE Costi'!E987+'Alim CE Costi'!E988+'Alim CE Costi'!E989+'Alim CE Costi'!E990</f>
        <v>3728.28</v>
      </c>
      <c r="D8" s="780">
        <v>3904.91</v>
      </c>
      <c r="E8" s="730"/>
      <c r="F8" s="804"/>
    </row>
    <row r="9" spans="1:7">
      <c r="A9" s="732" t="s">
        <v>3788</v>
      </c>
      <c r="B9" s="738"/>
      <c r="C9" s="781">
        <f>SUM(C6:C8)</f>
        <v>188434.77</v>
      </c>
      <c r="D9" s="781">
        <v>165261.28</v>
      </c>
      <c r="E9" s="730"/>
      <c r="F9" s="804"/>
    </row>
    <row r="10" spans="1:7">
      <c r="A10" s="736" t="s">
        <v>3789</v>
      </c>
      <c r="B10" s="737" t="s">
        <v>3790</v>
      </c>
      <c r="C10" s="780">
        <f>-(+'Alim CE Ricavi'!E69+'Alim CE Ricavi'!E71+'Alim CE Ricavi'!E291+'Alim CE Ricavi'!E293+'Alim CE Ricavi'!E295+'Alim CE Ricavi'!E297+'Alim CE Ricavi'!E299+'Alim CE Ricavi'!E301+'Alim CE Ricavi'!E303)</f>
        <v>-186482.77</v>
      </c>
      <c r="D10" s="780">
        <v>-162903.45000000001</v>
      </c>
      <c r="E10" s="730"/>
      <c r="F10" s="804"/>
    </row>
    <row r="11" spans="1:7">
      <c r="A11" s="736" t="s">
        <v>3789</v>
      </c>
      <c r="B11" s="737" t="s">
        <v>3791</v>
      </c>
      <c r="C11" s="780">
        <f>-(+'Alim CE Ricavi'!E74+'Alim CE Ricavi'!E76+'Alim CE Ricavi'!E78+'Alim CE Ricavi'!E80+'Alim CE Ricavi'!E82)</f>
        <v>-14270040.73</v>
      </c>
      <c r="D11" s="780">
        <v>-714601.74</v>
      </c>
      <c r="E11" s="730"/>
      <c r="F11" s="739"/>
    </row>
    <row r="12" spans="1:7">
      <c r="A12" s="732" t="s">
        <v>3792</v>
      </c>
      <c r="B12" s="738"/>
      <c r="C12" s="781">
        <f>SUM(C10:C11)</f>
        <v>-14456523.5</v>
      </c>
      <c r="D12" s="781">
        <v>-877505.19</v>
      </c>
      <c r="E12" s="730"/>
    </row>
    <row r="13" spans="1:7">
      <c r="A13" s="736" t="s">
        <v>3782</v>
      </c>
      <c r="B13" s="736" t="s">
        <v>3793</v>
      </c>
      <c r="C13" s="780">
        <f>+'Alim CE Costi'!E1115+'Alim CE Costi'!E1116</f>
        <v>0</v>
      </c>
      <c r="D13" s="780">
        <v>0</v>
      </c>
      <c r="E13" s="730"/>
    </row>
    <row r="14" spans="1:7">
      <c r="A14" s="736" t="s">
        <v>3789</v>
      </c>
      <c r="B14" s="737" t="s">
        <v>3794</v>
      </c>
      <c r="C14" s="782">
        <f>+'SP Pas Alim'!F114-'SP Pas Alim'!G114-'Rend Fin'!C13</f>
        <v>0</v>
      </c>
      <c r="D14" s="782">
        <v>0</v>
      </c>
      <c r="E14" s="730"/>
      <c r="F14" s="739"/>
      <c r="G14" s="776"/>
    </row>
    <row r="15" spans="1:7">
      <c r="A15" s="736" t="s">
        <v>3782</v>
      </c>
      <c r="B15" s="736" t="s">
        <v>3795</v>
      </c>
      <c r="C15" s="783">
        <f>+'Alim CE Costi'!E613+'Alim CE Costi'!E622+'Alim CE Costi'!E634+'Alim CE Costi'!E643+'Alim CE Costi'!E661+'Alim CE Costi'!E675+'Alim CE Costi'!E689+'Alim CE Costi'!E704+'Alim CE Costi'!E718+'Alim CE Costi'!E732+'Alim CE Costi'!E745+'Alim CE Costi'!E754+'Alim CE Costi'!E771+'Alim CE Costi'!E785+'Alim CE Costi'!E799+'Alim CE Costi'!E808+'Alim CE Costi'!E818+'Alim CE Costi'!E827+'Alim CE Costi'!E846+'Alim CE Costi'!E860+'Alim CE Costi'!E875+'Alim CE Costi'!E889+'Alim CE Costi'!E903+'Alim CE Costi'!E912+'Alim CE Costi'!E929+'Alim CE Costi'!E943</f>
        <v>0</v>
      </c>
      <c r="D15" s="783">
        <v>0</v>
      </c>
      <c r="E15" s="730"/>
      <c r="G15" s="776"/>
    </row>
    <row r="16" spans="1:7">
      <c r="A16" s="736" t="s">
        <v>3789</v>
      </c>
      <c r="B16" s="737" t="s">
        <v>3796</v>
      </c>
      <c r="C16" s="782">
        <f>'SP Pas Alim'!F116-'SP Pas Alim'!G116-'Rend Fin'!C15</f>
        <v>0</v>
      </c>
      <c r="D16" s="782">
        <v>0</v>
      </c>
      <c r="E16" s="730"/>
    </row>
    <row r="17" spans="1:7">
      <c r="A17" s="732" t="s">
        <v>3797</v>
      </c>
      <c r="B17" s="738"/>
      <c r="C17" s="781">
        <f>SUM(C13:C16)</f>
        <v>0</v>
      </c>
      <c r="D17" s="781">
        <v>0</v>
      </c>
      <c r="E17" s="730"/>
      <c r="G17" s="740"/>
    </row>
    <row r="18" spans="1:7">
      <c r="A18" s="736" t="s">
        <v>3798</v>
      </c>
      <c r="B18" s="737" t="s">
        <v>3799</v>
      </c>
      <c r="C18" s="780">
        <v>0</v>
      </c>
      <c r="D18" s="780">
        <v>0</v>
      </c>
    </row>
    <row r="19" spans="1:7">
      <c r="A19" s="736" t="s">
        <v>3782</v>
      </c>
      <c r="B19" s="736" t="s">
        <v>3800</v>
      </c>
      <c r="C19" s="780">
        <f>+SUM('Alim CE Costi'!E1022:E1064)</f>
        <v>0</v>
      </c>
      <c r="D19" s="780">
        <v>0</v>
      </c>
    </row>
    <row r="20" spans="1:7">
      <c r="A20" s="741" t="s">
        <v>3789</v>
      </c>
      <c r="B20" s="741" t="s">
        <v>3801</v>
      </c>
      <c r="C20" s="780">
        <f>-('SP Att Alim'!F45+'SP Att Alim'!F47+'SP Att Alim'!F49+'SP Att Alim'!F51+'SP Att Alim'!F100+'SP Att Alim'!F101+'SP Att Alim'!F103+'SP Att Alim'!F104+'SP Att Alim'!F106+'SP Att Alim'!F108+'SP Att Alim'!F110+'SP Att Alim'!F112+'SP Att Alim'!F114+'SP Att Alim'!F116+'SP Att Alim'!F121+'SP Att Alim'!F124+'SP Att Alim'!F127+'SP Att Alim'!F132+'SP Att Alim'!F189+'SP Att Alim'!F192+'SP Att Alim'!F195+'SP Att Alim'!F198+'SP Att Alim'!F201+'SP Att Alim'!F204+'SP Att Alim'!F209+'SP Att Alim'!F212+'SP Att Alim'!F215+'SP Att Alim'!F219+'SP Att Alim'!F222+'SP Att Alim'!F227+'SP Att Alim'!F230+'SP Att Alim'!F235+'SP Att Alim'!F240+'SP Att Alim'!F243+'SP Att Alim'!F246+'SP Att Alim'!F249+'SP Att Alim'!F252+'SP Att Alim'!F255+'SP Att Alim'!F260+'SP Att Alim'!F263+'SP Att Alim'!F269+'SP Att Alim'!F272+'SP Att Alim'!F276+'SP Att Alim'!F279+'SP Att Alim'!F282+'SP Att Alim'!F287+'SP Att Alim'!F290+'SP Att Alim'!F299+'SP Att Alim'!F320+'SP Att Alim'!F326+'SP Att Alim'!F329+'SP Att Alim'!F334+'SP Att Alim'!F343+'SP Att Alim'!F351+'SP Att Alim'!F354+'SP Att Alim'!F360+'SP Att Alim'!F363+'SP Att Alim'!F372+'SP Att Alim'!F373)+SUM('SP Att Alim'!G45+'SP Att Alim'!G47+'SP Att Alim'!G49+'SP Att Alim'!G51+'SP Att Alim'!G100+'SP Att Alim'!G101+'SP Att Alim'!G103+'SP Att Alim'!G104+'SP Att Alim'!G106+'SP Att Alim'!G108+'SP Att Alim'!G110+'SP Att Alim'!G112+'SP Att Alim'!G114+'SP Att Alim'!G116+'SP Att Alim'!G121+'SP Att Alim'!G124+'SP Att Alim'!G127+'SP Att Alim'!G132+'SP Att Alim'!G189+'SP Att Alim'!G192+'SP Att Alim'!G195+'SP Att Alim'!G198+'SP Att Alim'!G201+'SP Att Alim'!G204+'SP Att Alim'!G209+'SP Att Alim'!G212+'SP Att Alim'!G215+'SP Att Alim'!G219+'SP Att Alim'!G222+'SP Att Alim'!G227+'SP Att Alim'!G230+'SP Att Alim'!G235+'SP Att Alim'!G240+'SP Att Alim'!G243+'SP Att Alim'!G246+'SP Att Alim'!G249+'SP Att Alim'!G252+'SP Att Alim'!G255+'SP Att Alim'!G260+'SP Att Alim'!G263+'SP Att Alim'!G269+'SP Att Alim'!G272+'SP Att Alim'!G276+'SP Att Alim'!G279+'SP Att Alim'!G282+'SP Att Alim'!G287+'SP Att Alim'!G290+'SP Att Alim'!G299+'SP Att Alim'!G320+'SP Att Alim'!G326+'SP Att Alim'!G329+'SP Att Alim'!G334+'SP Att Alim'!G343+'SP Att Alim'!G351+'SP Att Alim'!G354+'SP Att Alim'!G360+'SP Att Alim'!G363+'SP Att Alim'!G372+'SP Att Alim'!G373)-'Rend Fin'!C19</f>
        <v>-14503</v>
      </c>
      <c r="D20" s="780">
        <v>-57434.149999999994</v>
      </c>
      <c r="G20" s="740"/>
    </row>
    <row r="21" spans="1:7">
      <c r="A21" s="732" t="s">
        <v>3802</v>
      </c>
      <c r="B21" s="738"/>
      <c r="C21" s="781">
        <f>SUM(C18:C20)</f>
        <v>-14503</v>
      </c>
      <c r="D21" s="781">
        <v>-57434.149999999994</v>
      </c>
      <c r="E21" s="739"/>
      <c r="G21" s="740"/>
    </row>
    <row r="22" spans="1:7">
      <c r="A22" s="736" t="s">
        <v>3782</v>
      </c>
      <c r="B22" s="736" t="s">
        <v>3803</v>
      </c>
      <c r="C22" s="780">
        <f>+'Alim CE Costi'!E1242+SUM('Alim CE Costi'!E1099:E1151)+'Alim CE Costi'!E614+'Alim CE Costi'!E623+'Alim CE Costi'!E635+'Alim CE Costi'!E644+'Alim CE Costi'!E662+'Alim CE Costi'!E676+'Alim CE Costi'!E690+'Alim CE Costi'!E705+'Alim CE Costi'!E719+'Alim CE Costi'!E733+'Alim CE Costi'!E746+'Alim CE Costi'!E755+'Alim CE Costi'!E772+'Alim CE Costi'!E786+'Alim CE Costi'!E800+'Alim CE Costi'!E809+'Alim CE Costi'!E819+'Alim CE Costi'!E828+'Alim CE Costi'!E847+'Alim CE Costi'!E861+'Alim CE Costi'!E876+'Alim CE Costi'!E890+'Alim CE Costi'!E904+'Alim CE Costi'!E913+'Alim CE Costi'!E930+'Alim CE Costi'!E944</f>
        <v>51143053.509999998</v>
      </c>
      <c r="D22" s="783">
        <v>35290825.199999996</v>
      </c>
      <c r="E22" s="730"/>
      <c r="G22" s="740"/>
    </row>
    <row r="23" spans="1:7">
      <c r="A23" s="736" t="s">
        <v>3789</v>
      </c>
      <c r="B23" s="737" t="s">
        <v>3804</v>
      </c>
      <c r="C23" s="780">
        <f>'Schema SP'!K130-'Rend Fin'!C22-'Rend Fin'!C11</f>
        <v>-20325803.779999997</v>
      </c>
      <c r="D23" s="780">
        <v>-14855894.459999995</v>
      </c>
      <c r="E23" s="742"/>
      <c r="G23" s="740"/>
    </row>
    <row r="24" spans="1:7">
      <c r="A24" s="732" t="s">
        <v>3805</v>
      </c>
      <c r="B24" s="738"/>
      <c r="C24" s="781">
        <f>SUM(C22:C23)</f>
        <v>30817249.73</v>
      </c>
      <c r="D24" s="781">
        <v>20434930.740000002</v>
      </c>
      <c r="E24" s="730"/>
      <c r="G24" s="740"/>
    </row>
    <row r="25" spans="1:7">
      <c r="A25" s="743" t="s">
        <v>3806</v>
      </c>
      <c r="B25" s="743"/>
      <c r="C25" s="784">
        <f>C4+C9+C12+C17+C21+C24</f>
        <v>17381965</v>
      </c>
      <c r="D25" s="784">
        <v>22540213.680000003</v>
      </c>
      <c r="E25" s="730"/>
    </row>
    <row r="26" spans="1:7" ht="15">
      <c r="A26" s="744"/>
      <c r="B26" s="744"/>
      <c r="C26" s="807"/>
      <c r="D26" s="791"/>
      <c r="E26" s="730"/>
    </row>
    <row r="27" spans="1:7" ht="22.5">
      <c r="A27" s="736" t="s">
        <v>3807</v>
      </c>
      <c r="B27" s="745" t="s">
        <v>3808</v>
      </c>
      <c r="C27" s="780">
        <f>'Schema SP'!K139</f>
        <v>-536</v>
      </c>
      <c r="D27" s="780">
        <v>-3949966</v>
      </c>
      <c r="E27" s="730"/>
    </row>
    <row r="28" spans="1:7">
      <c r="A28" s="736" t="s">
        <v>3807</v>
      </c>
      <c r="B28" s="746" t="s">
        <v>3809</v>
      </c>
      <c r="C28" s="780">
        <f>'Schema SP'!K140</f>
        <v>0</v>
      </c>
      <c r="D28" s="780">
        <v>0</v>
      </c>
      <c r="E28" s="730"/>
    </row>
    <row r="29" spans="1:7">
      <c r="A29" s="736" t="s">
        <v>3807</v>
      </c>
      <c r="B29" s="746" t="s">
        <v>3810</v>
      </c>
      <c r="C29" s="780">
        <f>'Schema SP'!K141</f>
        <v>-15039910</v>
      </c>
      <c r="D29" s="780">
        <v>-5789474</v>
      </c>
      <c r="E29" s="730"/>
    </row>
    <row r="30" spans="1:7">
      <c r="A30" s="736" t="s">
        <v>3807</v>
      </c>
      <c r="B30" s="746" t="s">
        <v>3811</v>
      </c>
      <c r="C30" s="782"/>
      <c r="D30" s="782"/>
    </row>
    <row r="31" spans="1:7">
      <c r="A31" s="736" t="s">
        <v>3807</v>
      </c>
      <c r="B31" s="746" t="s">
        <v>3812</v>
      </c>
      <c r="C31" s="780">
        <f>'Schema SP'!K149-'Rend Fin'!C94</f>
        <v>-19905525</v>
      </c>
      <c r="D31" s="780">
        <v>37565892</v>
      </c>
      <c r="E31" s="730"/>
    </row>
    <row r="32" spans="1:7">
      <c r="A32" s="736" t="s">
        <v>3807</v>
      </c>
      <c r="B32" s="746" t="s">
        <v>3813</v>
      </c>
      <c r="C32" s="780">
        <f>'Schema SP'!K151</f>
        <v>-377964</v>
      </c>
      <c r="D32" s="780">
        <v>976230</v>
      </c>
      <c r="E32" s="730"/>
    </row>
    <row r="33" spans="1:7">
      <c r="A33" s="736" t="s">
        <v>3807</v>
      </c>
      <c r="B33" s="746" t="s">
        <v>3814</v>
      </c>
      <c r="C33" s="780">
        <f>'Schema SP'!K153</f>
        <v>56488</v>
      </c>
      <c r="D33" s="780">
        <v>72687</v>
      </c>
      <c r="E33" s="730"/>
    </row>
    <row r="34" spans="1:7">
      <c r="A34" s="736" t="s">
        <v>3807</v>
      </c>
      <c r="B34" s="746" t="s">
        <v>3815</v>
      </c>
      <c r="C34" s="780">
        <f>'Schema SP'!K138+'Schema SP'!K148+'Schema SP'!K152+'Schema SP'!K154-'Rend Fin'!C30</f>
        <v>7469</v>
      </c>
      <c r="D34" s="780">
        <v>829028</v>
      </c>
    </row>
    <row r="35" spans="1:7">
      <c r="A35" s="734" t="s">
        <v>3807</v>
      </c>
      <c r="B35" s="734" t="s">
        <v>3816</v>
      </c>
      <c r="C35" s="785">
        <f>SUM(C27:C34)</f>
        <v>-35259978</v>
      </c>
      <c r="D35" s="785">
        <v>29704397</v>
      </c>
      <c r="E35" s="739"/>
      <c r="F35" s="739"/>
      <c r="G35" s="740"/>
    </row>
    <row r="36" spans="1:7">
      <c r="A36" s="734" t="s">
        <v>3807</v>
      </c>
      <c r="B36" s="734" t="s">
        <v>3817</v>
      </c>
      <c r="C36" s="779">
        <f>'Schema SP'!K157+'Schema SP'!K158</f>
        <v>0</v>
      </c>
      <c r="D36" s="779">
        <v>0</v>
      </c>
      <c r="E36" s="730"/>
      <c r="F36" s="739"/>
    </row>
    <row r="37" spans="1:7">
      <c r="A37" s="736" t="s">
        <v>3807</v>
      </c>
      <c r="B37" s="746" t="s">
        <v>3818</v>
      </c>
      <c r="C37" s="780">
        <v>0</v>
      </c>
      <c r="D37" s="780">
        <v>0</v>
      </c>
      <c r="E37" s="729" t="s">
        <v>3819</v>
      </c>
    </row>
    <row r="38" spans="1:7">
      <c r="A38" s="736" t="s">
        <v>3807</v>
      </c>
      <c r="B38" s="746" t="s">
        <v>3820</v>
      </c>
      <c r="C38" s="780">
        <f>-('Schema SP'!K52-'Schema SP'!K56)-'Schema SP'!K48</f>
        <v>0</v>
      </c>
      <c r="D38" s="780">
        <v>0</v>
      </c>
    </row>
    <row r="39" spans="1:7">
      <c r="A39" s="736" t="s">
        <v>3807</v>
      </c>
      <c r="B39" s="746" t="s">
        <v>3821</v>
      </c>
      <c r="C39" s="780">
        <v>0</v>
      </c>
      <c r="D39" s="780">
        <v>0</v>
      </c>
      <c r="E39" s="729" t="s">
        <v>3819</v>
      </c>
    </row>
    <row r="40" spans="1:7">
      <c r="A40" s="736" t="s">
        <v>3807</v>
      </c>
      <c r="B40" s="746" t="s">
        <v>3822</v>
      </c>
      <c r="C40" s="780">
        <v>0</v>
      </c>
      <c r="D40" s="780">
        <v>0</v>
      </c>
      <c r="E40" s="729" t="s">
        <v>3819</v>
      </c>
    </row>
    <row r="41" spans="1:7">
      <c r="A41" s="736" t="s">
        <v>3807</v>
      </c>
      <c r="B41" s="746" t="s">
        <v>3823</v>
      </c>
      <c r="C41" s="780">
        <v>0</v>
      </c>
      <c r="D41" s="780">
        <v>0</v>
      </c>
      <c r="E41" s="729" t="s">
        <v>3819</v>
      </c>
    </row>
    <row r="42" spans="1:7">
      <c r="A42" s="736" t="s">
        <v>3807</v>
      </c>
      <c r="B42" s="746" t="s">
        <v>3824</v>
      </c>
      <c r="C42" s="780">
        <v>0</v>
      </c>
      <c r="D42" s="780">
        <v>0</v>
      </c>
      <c r="E42" s="729" t="s">
        <v>3819</v>
      </c>
    </row>
    <row r="43" spans="1:7">
      <c r="A43" s="736" t="s">
        <v>3807</v>
      </c>
      <c r="B43" s="746" t="s">
        <v>3825</v>
      </c>
      <c r="C43" s="780">
        <v>0</v>
      </c>
      <c r="D43" s="780">
        <v>0</v>
      </c>
      <c r="E43" s="729" t="s">
        <v>3819</v>
      </c>
    </row>
    <row r="44" spans="1:7">
      <c r="A44" s="736"/>
      <c r="B44" s="747"/>
      <c r="C44" s="780"/>
      <c r="D44" s="780"/>
      <c r="E44" s="730"/>
    </row>
    <row r="45" spans="1:7">
      <c r="A45" s="736" t="s">
        <v>3807</v>
      </c>
      <c r="B45" s="746" t="s">
        <v>3826</v>
      </c>
      <c r="C45" s="780">
        <f>-'Schema SP'!K59</f>
        <v>-24649428</v>
      </c>
      <c r="D45" s="780">
        <v>-1906314</v>
      </c>
      <c r="E45" s="730"/>
    </row>
    <row r="46" spans="1:7">
      <c r="A46" s="736" t="s">
        <v>3807</v>
      </c>
      <c r="B46" s="746" t="s">
        <v>3827</v>
      </c>
      <c r="C46" s="780">
        <f>-'Schema SP'!K71</f>
        <v>8241</v>
      </c>
      <c r="D46" s="780">
        <v>-918</v>
      </c>
      <c r="E46" s="730"/>
    </row>
    <row r="47" spans="1:7">
      <c r="A47" s="736" t="s">
        <v>3807</v>
      </c>
      <c r="B47" s="746" t="s">
        <v>3828</v>
      </c>
      <c r="C47" s="780">
        <f>-'Schema SP'!K72</f>
        <v>47693462</v>
      </c>
      <c r="D47" s="780">
        <v>-95700375</v>
      </c>
      <c r="E47" s="730"/>
    </row>
    <row r="48" spans="1:7">
      <c r="A48" s="736" t="s">
        <v>3807</v>
      </c>
      <c r="B48" s="746" t="s">
        <v>3829</v>
      </c>
      <c r="C48" s="782"/>
      <c r="D48" s="782"/>
    </row>
    <row r="49" spans="1:7">
      <c r="A49" s="736" t="s">
        <v>3807</v>
      </c>
      <c r="B49" s="746" t="s">
        <v>3830</v>
      </c>
      <c r="C49" s="780">
        <f>-'Schema SP'!K76</f>
        <v>-11577</v>
      </c>
      <c r="D49" s="780">
        <v>-14797</v>
      </c>
      <c r="E49" s="730"/>
    </row>
    <row r="50" spans="1:7">
      <c r="A50" s="736" t="s">
        <v>3807</v>
      </c>
      <c r="B50" s="746" t="s">
        <v>3831</v>
      </c>
      <c r="C50" s="780">
        <f>-('Schema SP'!K77+'Schema SP'!K75+'Schema SP'!K57+'Schema SP'!K78)-'Rend Fin'!C48+'Rend Fin'!E51</f>
        <v>72598</v>
      </c>
      <c r="D50" s="780">
        <v>619256.15</v>
      </c>
      <c r="E50" s="730"/>
    </row>
    <row r="51" spans="1:7">
      <c r="A51" s="734" t="s">
        <v>3807</v>
      </c>
      <c r="B51" s="734" t="s">
        <v>3832</v>
      </c>
      <c r="C51" s="779">
        <f>SUM(C37:C50)</f>
        <v>23113296</v>
      </c>
      <c r="D51" s="779">
        <v>-97003147.849999994</v>
      </c>
      <c r="E51" s="739">
        <f>SUM('SP Att Alim'!F121+'SP Att Alim'!F124+'SP Att Alim'!F127+'SP Att Alim'!F132+'SP Att Alim'!F189+'SP Att Alim'!F192+'SP Att Alim'!F195+'SP Att Alim'!F198+'SP Att Alim'!F201+'SP Att Alim'!F204+'SP Att Alim'!F209+'SP Att Alim'!F212+'SP Att Alim'!F215+'SP Att Alim'!F219+'SP Att Alim'!F222+'SP Att Alim'!F227+'SP Att Alim'!F230+'SP Att Alim'!F235+'SP Att Alim'!F240+'SP Att Alim'!F243+'SP Att Alim'!F246+'SP Att Alim'!F249+'SP Att Alim'!F252+'SP Att Alim'!F255+'SP Att Alim'!F260+'SP Att Alim'!F263+'SP Att Alim'!F269+'SP Att Alim'!F272+'SP Att Alim'!F276+'SP Att Alim'!F279+'SP Att Alim'!F282+'SP Att Alim'!F287+'SP Att Alim'!F290+'SP Att Alim'!F299+'SP Att Alim'!F320+'SP Att Alim'!F326+'SP Att Alim'!F329+'SP Att Alim'!F334+'SP Att Alim'!F343+'SP Att Alim'!F351+'SP Att Alim'!F354+'SP Att Alim'!F360+'SP Att Alim'!F363+'SP Att Alim'!F372+'SP Att Alim'!F373)-SUM('SP Att Alim'!G121+'SP Att Alim'!G124+'SP Att Alim'!G127+'SP Att Alim'!G132+'SP Att Alim'!G189+'SP Att Alim'!G192+'SP Att Alim'!G195+'SP Att Alim'!G198+'SP Att Alim'!G201+'SP Att Alim'!G204+'SP Att Alim'!G209+'SP Att Alim'!G212+'SP Att Alim'!G215+'SP Att Alim'!G219+'SP Att Alim'!G222+'SP Att Alim'!G227+'SP Att Alim'!G230+'SP Att Alim'!G235+'SP Att Alim'!G240+'SP Att Alim'!G243+'SP Att Alim'!G246+'SP Att Alim'!G249+'SP Att Alim'!G252+'SP Att Alim'!G255+'SP Att Alim'!G260+'SP Att Alim'!G263+'SP Att Alim'!G269+'SP Att Alim'!G272+'SP Att Alim'!G276+'SP Att Alim'!G279+'SP Att Alim'!G282+'SP Att Alim'!G287+'SP Att Alim'!G290+'SP Att Alim'!G299+'SP Att Alim'!G320+'SP Att Alim'!G326+'SP Att Alim'!G329+'SP Att Alim'!G334+'SP Att Alim'!G343+'SP Att Alim'!G351+'SP Att Alim'!G354+'SP Att Alim'!G360+'SP Att Alim'!G363+'SP Att Alim'!G372+'SP Att Alim'!G373)</f>
        <v>14503</v>
      </c>
      <c r="F51" s="748" t="s">
        <v>3833</v>
      </c>
      <c r="G51" s="740"/>
    </row>
    <row r="52" spans="1:7">
      <c r="A52" s="741" t="s">
        <v>3807</v>
      </c>
      <c r="B52" s="746" t="s">
        <v>3834</v>
      </c>
      <c r="C52" s="783">
        <f>-('Schema SP'!K41+'Schema SP'!K42)</f>
        <v>-12639</v>
      </c>
      <c r="D52" s="783">
        <v>-12369420</v>
      </c>
      <c r="E52" s="730"/>
    </row>
    <row r="53" spans="1:7">
      <c r="A53" s="741" t="s">
        <v>3807</v>
      </c>
      <c r="B53" s="746" t="s">
        <v>3835</v>
      </c>
      <c r="C53" s="783">
        <f>-('Schema SP'!K43+'Schema SP'!K44)</f>
        <v>0</v>
      </c>
      <c r="D53" s="783">
        <v>0</v>
      </c>
      <c r="E53" s="730"/>
    </row>
    <row r="54" spans="1:7">
      <c r="A54" s="734" t="s">
        <v>3807</v>
      </c>
      <c r="B54" s="749" t="s">
        <v>3836</v>
      </c>
      <c r="C54" s="779">
        <f>SUM(C52:C53)</f>
        <v>-12639</v>
      </c>
      <c r="D54" s="779">
        <v>-12369420</v>
      </c>
      <c r="E54" s="730"/>
      <c r="G54" s="740"/>
    </row>
    <row r="55" spans="1:7">
      <c r="A55" s="734" t="s">
        <v>3807</v>
      </c>
      <c r="B55" s="734" t="s">
        <v>3837</v>
      </c>
      <c r="C55" s="779">
        <f>-('Schema SP'!K88+'Schema SP'!K89)</f>
        <v>1178044</v>
      </c>
      <c r="D55" s="779">
        <v>-533849</v>
      </c>
      <c r="E55" s="730"/>
      <c r="G55" s="740"/>
    </row>
    <row r="56" spans="1:7">
      <c r="A56" s="743" t="s">
        <v>3838</v>
      </c>
      <c r="B56" s="743"/>
      <c r="C56" s="784">
        <f>C35+C36+C51+C54+C55+C25</f>
        <v>6400688</v>
      </c>
      <c r="D56" s="784">
        <v>-57661806.169999987</v>
      </c>
      <c r="E56" s="730"/>
    </row>
    <row r="57" spans="1:7" ht="15">
      <c r="A57" s="744"/>
      <c r="B57" s="744"/>
      <c r="C57" s="807"/>
      <c r="D57" s="791"/>
      <c r="E57" s="730"/>
    </row>
    <row r="58" spans="1:7">
      <c r="A58" s="732" t="s">
        <v>3839</v>
      </c>
      <c r="B58" s="733"/>
      <c r="C58" s="778"/>
      <c r="D58" s="778"/>
      <c r="E58" s="729" t="s">
        <v>3840</v>
      </c>
    </row>
    <row r="59" spans="1:7">
      <c r="A59" s="736" t="s">
        <v>3789</v>
      </c>
      <c r="B59" s="737" t="s">
        <v>3841</v>
      </c>
      <c r="C59" s="782"/>
      <c r="D59" s="782"/>
      <c r="E59" s="729" t="s">
        <v>3840</v>
      </c>
    </row>
    <row r="60" spans="1:7">
      <c r="A60" s="736" t="s">
        <v>3789</v>
      </c>
      <c r="B60" s="737" t="s">
        <v>3842</v>
      </c>
      <c r="C60" s="782"/>
      <c r="D60" s="782"/>
      <c r="E60" s="729" t="s">
        <v>3840</v>
      </c>
    </row>
    <row r="61" spans="1:7">
      <c r="A61" s="736" t="s">
        <v>3789</v>
      </c>
      <c r="B61" s="737" t="s">
        <v>3843</v>
      </c>
      <c r="C61" s="782"/>
      <c r="D61" s="782"/>
      <c r="E61" s="729" t="s">
        <v>3840</v>
      </c>
    </row>
    <row r="62" spans="1:7">
      <c r="A62" s="736" t="s">
        <v>3789</v>
      </c>
      <c r="B62" s="737" t="s">
        <v>3844</v>
      </c>
      <c r="C62" s="782"/>
      <c r="D62" s="782"/>
      <c r="E62" s="729" t="s">
        <v>3840</v>
      </c>
    </row>
    <row r="63" spans="1:7">
      <c r="A63" s="736" t="s">
        <v>3789</v>
      </c>
      <c r="B63" s="737" t="s">
        <v>3845</v>
      </c>
      <c r="C63" s="782"/>
      <c r="D63" s="782">
        <v>-700</v>
      </c>
      <c r="E63" s="729" t="s">
        <v>3840</v>
      </c>
    </row>
    <row r="64" spans="1:7">
      <c r="A64" s="734" t="s">
        <v>3789</v>
      </c>
      <c r="B64" s="749" t="s">
        <v>3846</v>
      </c>
      <c r="C64" s="779">
        <f>SUM(C59:C63)</f>
        <v>0</v>
      </c>
      <c r="D64" s="779">
        <v>-700</v>
      </c>
    </row>
    <row r="65" spans="1:5">
      <c r="A65" s="736" t="s">
        <v>3782</v>
      </c>
      <c r="B65" s="737" t="s">
        <v>3847</v>
      </c>
      <c r="C65" s="782"/>
      <c r="D65" s="782"/>
      <c r="E65" s="729" t="s">
        <v>3840</v>
      </c>
    </row>
    <row r="66" spans="1:5">
      <c r="A66" s="736" t="s">
        <v>3782</v>
      </c>
      <c r="B66" s="737" t="s">
        <v>3848</v>
      </c>
      <c r="C66" s="782"/>
      <c r="D66" s="782"/>
      <c r="E66" s="729" t="s">
        <v>3840</v>
      </c>
    </row>
    <row r="67" spans="1:5">
      <c r="A67" s="736" t="s">
        <v>3782</v>
      </c>
      <c r="B67" s="737" t="s">
        <v>3849</v>
      </c>
      <c r="C67" s="782"/>
      <c r="D67" s="782"/>
      <c r="E67" s="729" t="s">
        <v>3840</v>
      </c>
    </row>
    <row r="68" spans="1:5">
      <c r="A68" s="736" t="s">
        <v>3782</v>
      </c>
      <c r="B68" s="737" t="s">
        <v>3850</v>
      </c>
      <c r="C68" s="782"/>
      <c r="D68" s="782"/>
      <c r="E68" s="729" t="s">
        <v>3840</v>
      </c>
    </row>
    <row r="69" spans="1:5">
      <c r="A69" s="736" t="s">
        <v>3782</v>
      </c>
      <c r="B69" s="737" t="s">
        <v>3851</v>
      </c>
      <c r="C69" s="782"/>
      <c r="D69" s="782"/>
      <c r="E69" s="729" t="s">
        <v>3840</v>
      </c>
    </row>
    <row r="70" spans="1:5">
      <c r="A70" s="734" t="s">
        <v>3782</v>
      </c>
      <c r="B70" s="749" t="s">
        <v>3852</v>
      </c>
      <c r="C70" s="779">
        <f>SUM(C65:C69)</f>
        <v>0</v>
      </c>
      <c r="D70" s="779">
        <v>0</v>
      </c>
    </row>
    <row r="71" spans="1:5">
      <c r="A71" s="736" t="s">
        <v>3789</v>
      </c>
      <c r="B71" s="737" t="s">
        <v>3853</v>
      </c>
      <c r="C71" s="782"/>
      <c r="D71" s="782"/>
      <c r="E71" s="729" t="s">
        <v>3840</v>
      </c>
    </row>
    <row r="72" spans="1:5">
      <c r="A72" s="736" t="s">
        <v>3789</v>
      </c>
      <c r="B72" s="737" t="s">
        <v>3854</v>
      </c>
      <c r="C72" s="782"/>
      <c r="D72" s="782"/>
      <c r="E72" s="729" t="s">
        <v>3840</v>
      </c>
    </row>
    <row r="73" spans="1:5">
      <c r="A73" s="736" t="s">
        <v>3789</v>
      </c>
      <c r="B73" s="737" t="s">
        <v>3855</v>
      </c>
      <c r="C73" s="782"/>
      <c r="D73" s="782"/>
      <c r="E73" s="729" t="s">
        <v>3840</v>
      </c>
    </row>
    <row r="74" spans="1:5">
      <c r="A74" s="736" t="s">
        <v>3789</v>
      </c>
      <c r="B74" s="737" t="s">
        <v>3856</v>
      </c>
      <c r="C74" s="782"/>
      <c r="D74" s="782"/>
      <c r="E74" s="729" t="s">
        <v>3840</v>
      </c>
    </row>
    <row r="75" spans="1:5">
      <c r="A75" s="736" t="s">
        <v>3789</v>
      </c>
      <c r="B75" s="737" t="s">
        <v>3857</v>
      </c>
      <c r="C75" s="782">
        <v>-9970</v>
      </c>
      <c r="D75" s="782">
        <v>-33512</v>
      </c>
      <c r="E75" s="729" t="s">
        <v>3840</v>
      </c>
    </row>
    <row r="76" spans="1:5">
      <c r="A76" s="736" t="s">
        <v>3789</v>
      </c>
      <c r="B76" s="737" t="s">
        <v>3858</v>
      </c>
      <c r="C76" s="782"/>
      <c r="D76" s="782"/>
      <c r="E76" s="729" t="s">
        <v>3840</v>
      </c>
    </row>
    <row r="77" spans="1:5">
      <c r="A77" s="736" t="s">
        <v>3789</v>
      </c>
      <c r="B77" s="737" t="s">
        <v>3859</v>
      </c>
      <c r="C77" s="782">
        <v>-200519</v>
      </c>
      <c r="D77" s="782">
        <v>-50761</v>
      </c>
      <c r="E77" s="729" t="s">
        <v>3840</v>
      </c>
    </row>
    <row r="78" spans="1:5">
      <c r="A78" s="736" t="s">
        <v>3789</v>
      </c>
      <c r="B78" s="737" t="s">
        <v>3860</v>
      </c>
      <c r="C78" s="782"/>
      <c r="D78" s="782"/>
      <c r="E78" s="729" t="s">
        <v>3840</v>
      </c>
    </row>
    <row r="79" spans="1:5">
      <c r="A79" s="734" t="s">
        <v>3789</v>
      </c>
      <c r="B79" s="749" t="s">
        <v>3861</v>
      </c>
      <c r="C79" s="779">
        <f>SUM(C71:C78)</f>
        <v>-210489</v>
      </c>
      <c r="D79" s="779">
        <v>-84273</v>
      </c>
    </row>
    <row r="80" spans="1:5">
      <c r="A80" s="736" t="s">
        <v>3782</v>
      </c>
      <c r="B80" s="737" t="s">
        <v>3862</v>
      </c>
      <c r="C80" s="782"/>
      <c r="D80" s="782"/>
      <c r="E80" s="729" t="s">
        <v>3840</v>
      </c>
    </row>
    <row r="81" spans="1:5">
      <c r="A81" s="736" t="s">
        <v>3782</v>
      </c>
      <c r="B81" s="737" t="s">
        <v>3863</v>
      </c>
      <c r="C81" s="782"/>
      <c r="D81" s="782"/>
      <c r="E81" s="729" t="s">
        <v>3840</v>
      </c>
    </row>
    <row r="82" spans="1:5">
      <c r="A82" s="736" t="s">
        <v>3782</v>
      </c>
      <c r="B82" s="737" t="s">
        <v>3864</v>
      </c>
      <c r="C82" s="782"/>
      <c r="D82" s="782"/>
      <c r="E82" s="729" t="s">
        <v>3840</v>
      </c>
    </row>
    <row r="83" spans="1:5">
      <c r="A83" s="736" t="s">
        <v>3782</v>
      </c>
      <c r="B83" s="737" t="s">
        <v>3865</v>
      </c>
      <c r="C83" s="782"/>
      <c r="D83" s="782"/>
      <c r="E83" s="729" t="s">
        <v>3840</v>
      </c>
    </row>
    <row r="84" spans="1:5">
      <c r="A84" s="736" t="s">
        <v>3782</v>
      </c>
      <c r="B84" s="737" t="s">
        <v>3866</v>
      </c>
      <c r="C84" s="782"/>
      <c r="D84" s="782"/>
      <c r="E84" s="729" t="s">
        <v>3840</v>
      </c>
    </row>
    <row r="85" spans="1:5">
      <c r="A85" s="736" t="s">
        <v>3782</v>
      </c>
      <c r="B85" s="737" t="s">
        <v>3867</v>
      </c>
      <c r="C85" s="782"/>
      <c r="D85" s="782"/>
      <c r="E85" s="729" t="s">
        <v>3840</v>
      </c>
    </row>
    <row r="86" spans="1:5">
      <c r="A86" s="736" t="s">
        <v>3782</v>
      </c>
      <c r="B86" s="737" t="s">
        <v>3868</v>
      </c>
      <c r="C86" s="782">
        <v>405.65</v>
      </c>
      <c r="D86" s="782"/>
      <c r="E86" s="729" t="s">
        <v>3840</v>
      </c>
    </row>
    <row r="87" spans="1:5">
      <c r="A87" s="734" t="s">
        <v>3782</v>
      </c>
      <c r="B87" s="749" t="s">
        <v>3869</v>
      </c>
      <c r="C87" s="779">
        <f>SUM(C80:C86)</f>
        <v>405.65</v>
      </c>
      <c r="D87" s="779">
        <v>0</v>
      </c>
    </row>
    <row r="88" spans="1:5">
      <c r="A88" s="736" t="s">
        <v>3789</v>
      </c>
      <c r="B88" s="737" t="s">
        <v>3870</v>
      </c>
      <c r="C88" s="782"/>
      <c r="D88" s="782"/>
      <c r="E88" s="729" t="s">
        <v>3840</v>
      </c>
    </row>
    <row r="89" spans="1:5">
      <c r="A89" s="736" t="s">
        <v>3789</v>
      </c>
      <c r="B89" s="737" t="s">
        <v>3871</v>
      </c>
      <c r="C89" s="782"/>
      <c r="D89" s="782"/>
      <c r="E89" s="729" t="s">
        <v>3840</v>
      </c>
    </row>
    <row r="90" spans="1:5">
      <c r="A90" s="734" t="s">
        <v>3789</v>
      </c>
      <c r="B90" s="749" t="s">
        <v>3872</v>
      </c>
      <c r="C90" s="779">
        <f>SUM(C88:C89)</f>
        <v>0</v>
      </c>
      <c r="D90" s="779">
        <v>0</v>
      </c>
    </row>
    <row r="91" spans="1:5">
      <c r="A91" s="736" t="s">
        <v>3782</v>
      </c>
      <c r="B91" s="737" t="s">
        <v>3873</v>
      </c>
      <c r="C91" s="782"/>
      <c r="D91" s="782"/>
      <c r="E91" s="729" t="s">
        <v>3840</v>
      </c>
    </row>
    <row r="92" spans="1:5">
      <c r="A92" s="736" t="s">
        <v>3782</v>
      </c>
      <c r="B92" s="737" t="s">
        <v>3874</v>
      </c>
      <c r="C92" s="782"/>
      <c r="D92" s="782"/>
      <c r="E92" s="729" t="s">
        <v>3840</v>
      </c>
    </row>
    <row r="93" spans="1:5">
      <c r="A93" s="734" t="s">
        <v>3782</v>
      </c>
      <c r="B93" s="749" t="s">
        <v>3875</v>
      </c>
      <c r="C93" s="779">
        <f>SUM(C91:C92)</f>
        <v>0</v>
      </c>
      <c r="D93" s="779">
        <v>0</v>
      </c>
    </row>
    <row r="94" spans="1:5">
      <c r="A94" s="734" t="s">
        <v>3798</v>
      </c>
      <c r="B94" s="749" t="s">
        <v>3876</v>
      </c>
      <c r="C94" s="786"/>
      <c r="D94" s="786"/>
      <c r="E94" s="739" t="s">
        <v>3877</v>
      </c>
    </row>
    <row r="95" spans="1:5">
      <c r="A95" s="743" t="s">
        <v>3878</v>
      </c>
      <c r="B95" s="743"/>
      <c r="C95" s="784">
        <f>C64+C70+C79+C87+C90+C93+C94</f>
        <v>-210083.35</v>
      </c>
      <c r="D95" s="784">
        <v>-84973</v>
      </c>
      <c r="E95" s="739"/>
    </row>
    <row r="96" spans="1:5" ht="15">
      <c r="A96" s="744"/>
      <c r="B96" s="744"/>
      <c r="C96" s="807"/>
      <c r="D96" s="791"/>
      <c r="E96" s="730"/>
    </row>
    <row r="97" spans="1:6">
      <c r="A97" s="732" t="s">
        <v>3879</v>
      </c>
      <c r="B97" s="733"/>
      <c r="C97" s="778"/>
      <c r="D97" s="787"/>
      <c r="E97" s="730"/>
    </row>
    <row r="98" spans="1:6">
      <c r="A98" s="736" t="s">
        <v>3807</v>
      </c>
      <c r="B98" s="736" t="s">
        <v>3880</v>
      </c>
      <c r="C98" s="780">
        <f>-('Schema SP'!K51+'Schema SP'!K56)</f>
        <v>0</v>
      </c>
      <c r="D98" s="780">
        <v>0</v>
      </c>
      <c r="E98" s="730"/>
    </row>
    <row r="99" spans="1:6">
      <c r="A99" s="736" t="s">
        <v>3807</v>
      </c>
      <c r="B99" s="736" t="s">
        <v>3881</v>
      </c>
      <c r="C99" s="780">
        <f>-'Schema SP'!K67</f>
        <v>-12070958</v>
      </c>
      <c r="D99" s="780">
        <v>0</v>
      </c>
      <c r="E99" s="730"/>
    </row>
    <row r="100" spans="1:6">
      <c r="A100" s="736" t="s">
        <v>3807</v>
      </c>
      <c r="B100" s="736" t="s">
        <v>3882</v>
      </c>
      <c r="C100" s="780">
        <f>-'Schema SP'!K68</f>
        <v>0</v>
      </c>
      <c r="D100" s="780">
        <v>0</v>
      </c>
      <c r="E100" s="730"/>
    </row>
    <row r="101" spans="1:6">
      <c r="A101" s="736" t="s">
        <v>3807</v>
      </c>
      <c r="B101" s="736" t="s">
        <v>3883</v>
      </c>
      <c r="C101" s="780">
        <f>-'Schema SP'!K69</f>
        <v>0</v>
      </c>
      <c r="D101" s="780">
        <v>0</v>
      </c>
      <c r="E101" s="730"/>
    </row>
    <row r="102" spans="1:6">
      <c r="A102" s="736" t="s">
        <v>3807</v>
      </c>
      <c r="B102" s="736" t="s">
        <v>3884</v>
      </c>
      <c r="C102" s="780">
        <f>-'Schema SP'!K70</f>
        <v>0</v>
      </c>
      <c r="D102" s="780">
        <v>0</v>
      </c>
      <c r="E102" s="730"/>
      <c r="F102" s="739"/>
    </row>
    <row r="103" spans="1:6">
      <c r="A103" s="734" t="s">
        <v>3782</v>
      </c>
      <c r="B103" s="734" t="s">
        <v>3885</v>
      </c>
      <c r="C103" s="779">
        <f>SUM(C98:C102)</f>
        <v>-12070958</v>
      </c>
      <c r="D103" s="779">
        <v>0</v>
      </c>
      <c r="E103" s="739"/>
    </row>
    <row r="104" spans="1:6">
      <c r="A104" s="736" t="s">
        <v>3782</v>
      </c>
      <c r="B104" s="736" t="s">
        <v>3886</v>
      </c>
      <c r="C104" s="780">
        <f>SUM('SP Pas Alim'!F8:F25)+'SP Pas Alim'!F39+'SP Pas Alim'!F41-SUM('SP Pas Alim'!G8:G25)-'SP Pas Alim'!G39-'SP Pas Alim'!G41-'Rend Fin'!C10</f>
        <v>12070957.33</v>
      </c>
      <c r="D104" s="780">
        <v>80000.000000000058</v>
      </c>
      <c r="E104" s="742"/>
    </row>
    <row r="105" spans="1:6">
      <c r="A105" s="736" t="s">
        <v>3807</v>
      </c>
      <c r="B105" s="736" t="s">
        <v>3887</v>
      </c>
      <c r="C105" s="780">
        <f>'Schema SP'!K123-'Schema SP'!K108-'Rend Fin'!C104-'Rend Fin'!C4-'Rend Fin'!C10</f>
        <v>0.43999999991501682</v>
      </c>
      <c r="D105" s="780">
        <v>3.4500000000116415</v>
      </c>
      <c r="E105" s="742"/>
    </row>
    <row r="106" spans="1:6">
      <c r="A106" s="734" t="s">
        <v>3807</v>
      </c>
      <c r="B106" s="749" t="s">
        <v>3888</v>
      </c>
      <c r="C106" s="779">
        <f>SUM(C104:C105)</f>
        <v>12070957.77</v>
      </c>
      <c r="D106" s="779">
        <v>80003.45000000007</v>
      </c>
      <c r="E106" s="730"/>
      <c r="F106" s="739"/>
    </row>
    <row r="107" spans="1:6">
      <c r="A107" s="734" t="s">
        <v>3807</v>
      </c>
      <c r="B107" s="750" t="s">
        <v>3889</v>
      </c>
      <c r="C107" s="779">
        <f>'Schema SP'!K150</f>
        <v>0</v>
      </c>
      <c r="D107" s="779">
        <v>0</v>
      </c>
      <c r="E107" s="730"/>
    </row>
    <row r="108" spans="1:6">
      <c r="A108" s="736" t="s">
        <v>3782</v>
      </c>
      <c r="B108" s="736" t="s">
        <v>3890</v>
      </c>
      <c r="C108" s="782"/>
      <c r="D108" s="782"/>
      <c r="E108" s="729" t="s">
        <v>3840</v>
      </c>
    </row>
    <row r="109" spans="1:6">
      <c r="A109" s="736" t="s">
        <v>3789</v>
      </c>
      <c r="B109" s="736" t="s">
        <v>3891</v>
      </c>
      <c r="C109" s="780">
        <f>-C108+'Schema SP'!K137</f>
        <v>0</v>
      </c>
      <c r="D109" s="780">
        <v>0</v>
      </c>
      <c r="E109" s="730"/>
    </row>
    <row r="110" spans="1:6">
      <c r="A110" s="743" t="s">
        <v>3892</v>
      </c>
      <c r="B110" s="743"/>
      <c r="C110" s="784">
        <f>+C103+C106+C107+C108+C109</f>
        <v>-0.23000000044703484</v>
      </c>
      <c r="D110" s="784">
        <v>80003.45000000007</v>
      </c>
      <c r="E110" s="730"/>
    </row>
    <row r="111" spans="1:6">
      <c r="A111" s="736"/>
      <c r="B111" s="736"/>
      <c r="C111" s="808"/>
      <c r="D111" s="783"/>
      <c r="E111" s="730"/>
    </row>
    <row r="112" spans="1:6">
      <c r="A112" s="732" t="s">
        <v>3893</v>
      </c>
      <c r="B112" s="733"/>
      <c r="C112" s="787">
        <f>+C56+C95+C110</f>
        <v>6190604.4199999999</v>
      </c>
      <c r="D112" s="787">
        <v>-57666775.719999984</v>
      </c>
      <c r="E112" s="742"/>
    </row>
    <row r="113" spans="1:5">
      <c r="A113" s="749" t="s">
        <v>3894</v>
      </c>
      <c r="B113" s="751"/>
      <c r="C113" s="788">
        <f>'Schema SP'!I81-'Schema SP'!J81</f>
        <v>6190604</v>
      </c>
      <c r="D113" s="788">
        <v>-57666776</v>
      </c>
      <c r="E113" s="742"/>
    </row>
    <row r="114" spans="1:5">
      <c r="A114" s="736"/>
      <c r="B114" s="752"/>
      <c r="C114" s="805"/>
      <c r="D114" s="779"/>
      <c r="E114" s="730"/>
    </row>
    <row r="115" spans="1:5">
      <c r="A115" s="753" t="s">
        <v>3895</v>
      </c>
      <c r="B115" s="754"/>
      <c r="C115" s="789">
        <f>C112-C113</f>
        <v>0.41999999992549419</v>
      </c>
      <c r="D115" s="789">
        <v>0.28000001609325409</v>
      </c>
      <c r="E115" s="739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13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885" t="s">
        <v>1935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</row>
    <row r="2" spans="1:12" ht="13.5" thickBot="1"/>
    <row r="3" spans="1:12" ht="16.899999999999999" customHeight="1" thickTop="1">
      <c r="A3" s="888" t="s">
        <v>1838</v>
      </c>
      <c r="B3" s="266"/>
      <c r="C3" s="890" t="s">
        <v>1839</v>
      </c>
      <c r="D3" s="886" t="s">
        <v>1830</v>
      </c>
      <c r="E3" s="886" t="s">
        <v>1831</v>
      </c>
      <c r="F3" s="887" t="s">
        <v>1832</v>
      </c>
      <c r="G3" s="887"/>
      <c r="H3" s="886" t="s">
        <v>1826</v>
      </c>
      <c r="I3" s="886" t="s">
        <v>1827</v>
      </c>
      <c r="J3" s="886" t="s">
        <v>1828</v>
      </c>
      <c r="K3" s="886" t="s">
        <v>1824</v>
      </c>
      <c r="L3" s="886" t="s">
        <v>1825</v>
      </c>
    </row>
    <row r="4" spans="1:12" ht="93" customHeight="1">
      <c r="A4" s="889"/>
      <c r="B4" s="267"/>
      <c r="C4" s="891"/>
      <c r="D4" s="886"/>
      <c r="E4" s="886"/>
      <c r="F4" s="886" t="s">
        <v>1833</v>
      </c>
      <c r="G4" s="886" t="s">
        <v>1834</v>
      </c>
      <c r="H4" s="886"/>
      <c r="I4" s="886"/>
      <c r="J4" s="886"/>
      <c r="K4" s="886"/>
      <c r="L4" s="886"/>
    </row>
    <row r="5" spans="1:12" ht="15.75">
      <c r="A5" s="219" t="s">
        <v>1840</v>
      </c>
      <c r="B5" s="268"/>
      <c r="C5" s="892"/>
      <c r="D5" s="886"/>
      <c r="E5" s="886"/>
      <c r="F5" s="886"/>
      <c r="G5" s="886"/>
      <c r="H5" s="886"/>
      <c r="I5" s="886"/>
      <c r="J5" s="886"/>
      <c r="K5" s="886"/>
      <c r="L5" s="886"/>
    </row>
    <row r="6" spans="1:12" ht="25.5">
      <c r="A6" s="220" t="s">
        <v>1841</v>
      </c>
      <c r="B6" s="269" t="s">
        <v>1842</v>
      </c>
      <c r="C6" s="248" t="s">
        <v>1843</v>
      </c>
      <c r="D6" s="254" t="e">
        <f>+'CE Min'!#REF!</f>
        <v>#REF!</v>
      </c>
      <c r="E6" s="254" t="e">
        <f>+'CE Min'!#REF!</f>
        <v>#REF!</v>
      </c>
      <c r="F6" s="254" t="e">
        <f>+'CE Min'!#REF!</f>
        <v>#REF!</v>
      </c>
      <c r="G6" s="254" t="e">
        <f>+'CE Min'!#REF!</f>
        <v>#REF!</v>
      </c>
      <c r="H6" s="254" t="e">
        <f>+'CE Min'!#REF!</f>
        <v>#REF!</v>
      </c>
      <c r="I6" s="254" t="e">
        <f>+'CE Min'!#REF!</f>
        <v>#REF!</v>
      </c>
      <c r="J6" s="254" t="e">
        <f>+'CE Min'!#REF!</f>
        <v>#REF!</v>
      </c>
      <c r="K6" s="254" t="e">
        <f>+'CE Min'!#REF!</f>
        <v>#REF!</v>
      </c>
      <c r="L6" s="254" t="e">
        <f>+'CE Min'!#REF!</f>
        <v>#REF!</v>
      </c>
    </row>
    <row r="7" spans="1:12" ht="25.5">
      <c r="A7" s="221" t="s">
        <v>1844</v>
      </c>
      <c r="B7" s="270">
        <f>+B6+1</f>
        <v>2</v>
      </c>
      <c r="C7" s="249" t="s">
        <v>183</v>
      </c>
      <c r="D7" s="254" t="e">
        <f>+'CE Min'!#REF!</f>
        <v>#REF!</v>
      </c>
      <c r="E7" s="254" t="e">
        <f>+'CE Min'!#REF!</f>
        <v>#REF!</v>
      </c>
      <c r="F7" s="254" t="e">
        <f>+'CE Min'!#REF!</f>
        <v>#REF!</v>
      </c>
      <c r="G7" s="254" t="e">
        <f>+'CE Min'!#REF!</f>
        <v>#REF!</v>
      </c>
      <c r="H7" s="254" t="e">
        <f>+'CE Min'!#REF!</f>
        <v>#REF!</v>
      </c>
      <c r="I7" s="254" t="e">
        <f>+'CE Min'!#REF!</f>
        <v>#REF!</v>
      </c>
      <c r="J7" s="254" t="e">
        <f>+'CE Min'!#REF!</f>
        <v>#REF!</v>
      </c>
      <c r="K7" s="254" t="e">
        <f>+'CE Min'!#REF!</f>
        <v>#REF!</v>
      </c>
      <c r="L7" s="254" t="e">
        <f>+'CE Min'!#REF!</f>
        <v>#REF!</v>
      </c>
    </row>
    <row r="8" spans="1:12">
      <c r="A8" s="221" t="s">
        <v>1845</v>
      </c>
      <c r="B8" s="270">
        <f t="shared" ref="B8:B18" si="0">+B7+1</f>
        <v>3</v>
      </c>
      <c r="C8" s="249" t="s">
        <v>144</v>
      </c>
      <c r="D8" s="254" t="e">
        <f>+'CE Min'!#REF!</f>
        <v>#REF!</v>
      </c>
      <c r="E8" s="254" t="e">
        <f>+'CE Min'!#REF!</f>
        <v>#REF!</v>
      </c>
      <c r="F8" s="254" t="e">
        <f>+'CE Min'!#REF!</f>
        <v>#REF!</v>
      </c>
      <c r="G8" s="254" t="e">
        <f>+'CE Min'!#REF!</f>
        <v>#REF!</v>
      </c>
      <c r="H8" s="254" t="e">
        <f>+'CE Min'!#REF!</f>
        <v>#REF!</v>
      </c>
      <c r="I8" s="254" t="e">
        <f>+'CE Min'!#REF!</f>
        <v>#REF!</v>
      </c>
      <c r="J8" s="254" t="e">
        <f>+'CE Min'!#REF!</f>
        <v>#REF!</v>
      </c>
      <c r="K8" s="254" t="e">
        <f>+'CE Min'!#REF!</f>
        <v>#REF!</v>
      </c>
      <c r="L8" s="254" t="e">
        <f>+'CE Min'!#REF!</f>
        <v>#REF!</v>
      </c>
    </row>
    <row r="9" spans="1:12">
      <c r="A9" s="221" t="s">
        <v>1846</v>
      </c>
      <c r="B9" s="270">
        <f t="shared" si="0"/>
        <v>4</v>
      </c>
      <c r="C9" s="249" t="s">
        <v>145</v>
      </c>
      <c r="D9" s="254" t="e">
        <f>+'CE Min'!#REF!</f>
        <v>#REF!</v>
      </c>
      <c r="E9" s="254" t="e">
        <f>+'CE Min'!#REF!</f>
        <v>#REF!</v>
      </c>
      <c r="F9" s="254" t="e">
        <f>+'CE Min'!#REF!</f>
        <v>#REF!</v>
      </c>
      <c r="G9" s="254" t="e">
        <f>+'CE Min'!#REF!</f>
        <v>#REF!</v>
      </c>
      <c r="H9" s="254" t="e">
        <f>+'CE Min'!#REF!</f>
        <v>#REF!</v>
      </c>
      <c r="I9" s="254" t="e">
        <f>+'CE Min'!#REF!</f>
        <v>#REF!</v>
      </c>
      <c r="J9" s="254" t="e">
        <f>+'CE Min'!#REF!</f>
        <v>#REF!</v>
      </c>
      <c r="K9" s="254" t="e">
        <f>+'CE Min'!#REF!</f>
        <v>#REF!</v>
      </c>
      <c r="L9" s="254" t="e">
        <f>+'CE Min'!#REF!</f>
        <v>#REF!</v>
      </c>
    </row>
    <row r="10" spans="1:12" ht="25.5">
      <c r="A10" s="222" t="s">
        <v>1847</v>
      </c>
      <c r="B10" s="270">
        <f t="shared" si="0"/>
        <v>5</v>
      </c>
      <c r="C10" s="249" t="s">
        <v>186</v>
      </c>
      <c r="D10" s="254" t="e">
        <f>+'CE Min'!#REF!</f>
        <v>#REF!</v>
      </c>
      <c r="E10" s="254" t="e">
        <f>+'CE Min'!#REF!</f>
        <v>#REF!</v>
      </c>
      <c r="F10" s="254" t="e">
        <f>+'CE Min'!#REF!</f>
        <v>#REF!</v>
      </c>
      <c r="G10" s="254" t="e">
        <f>+'CE Min'!#REF!</f>
        <v>#REF!</v>
      </c>
      <c r="H10" s="254" t="e">
        <f>+'CE Min'!#REF!</f>
        <v>#REF!</v>
      </c>
      <c r="I10" s="254" t="e">
        <f>+'CE Min'!#REF!</f>
        <v>#REF!</v>
      </c>
      <c r="J10" s="254" t="e">
        <f>+'CE Min'!#REF!</f>
        <v>#REF!</v>
      </c>
      <c r="K10" s="254" t="e">
        <f>+'CE Min'!#REF!</f>
        <v>#REF!</v>
      </c>
      <c r="L10" s="254" t="e">
        <f>+'CE Min'!#REF!</f>
        <v>#REF!</v>
      </c>
    </row>
    <row r="11" spans="1:12" ht="25.5">
      <c r="A11" s="222" t="s">
        <v>1848</v>
      </c>
      <c r="B11" s="270">
        <f t="shared" si="0"/>
        <v>6</v>
      </c>
      <c r="C11" s="249" t="s">
        <v>1849</v>
      </c>
      <c r="D11" s="254" t="e">
        <f>+'CE Min'!#REF!-'ce art. 44'!D8-'ce art. 44'!D9+'CE Min'!#REF!+'CE Min'!#REF!</f>
        <v>#REF!</v>
      </c>
      <c r="E11" s="254" t="e">
        <f>+'CE Min'!#REF!-'ce art. 44'!E8-'ce art. 44'!E9+'CE Min'!#REF!+'CE Min'!#REF!</f>
        <v>#REF!</v>
      </c>
      <c r="F11" s="254" t="e">
        <f>+'CE Min'!#REF!-'ce art. 44'!F8-'ce art. 44'!F9+'CE Min'!#REF!+'CE Min'!#REF!</f>
        <v>#REF!</v>
      </c>
      <c r="G11" s="254" t="e">
        <f>+'CE Min'!#REF!-'ce art. 44'!G8-'ce art. 44'!G9+'CE Min'!#REF!+'CE Min'!#REF!</f>
        <v>#REF!</v>
      </c>
      <c r="H11" s="254" t="e">
        <f>+'CE Min'!#REF!-'ce art. 44'!H8-'ce art. 44'!H9+'CE Min'!#REF!+'CE Min'!#REF!</f>
        <v>#REF!</v>
      </c>
      <c r="I11" s="254" t="e">
        <f>+'CE Min'!#REF!-'ce art. 44'!I8-'ce art. 44'!I9+'CE Min'!#REF!+'CE Min'!#REF!</f>
        <v>#REF!</v>
      </c>
      <c r="J11" s="254" t="e">
        <f>+'CE Min'!#REF!-'ce art. 44'!J8-'ce art. 44'!J9+'CE Min'!#REF!+'CE Min'!#REF!</f>
        <v>#REF!</v>
      </c>
      <c r="K11" s="254" t="e">
        <f>+'CE Min'!#REF!-'ce art. 44'!K8-'ce art. 44'!K9+'CE Min'!#REF!+'CE Min'!#REF!</f>
        <v>#REF!</v>
      </c>
      <c r="L11" s="254" t="e">
        <f>+'CE Min'!#REF!-'ce art. 44'!L8-'ce art. 44'!L9+'CE Min'!#REF!+'CE Min'!#REF!</f>
        <v>#REF!</v>
      </c>
    </row>
    <row r="12" spans="1:12">
      <c r="A12" s="222" t="s">
        <v>1850</v>
      </c>
      <c r="B12" s="270">
        <f t="shared" si="0"/>
        <v>7</v>
      </c>
      <c r="C12" s="249" t="s">
        <v>364</v>
      </c>
      <c r="D12" s="254" t="e">
        <f>+'CE Min'!#REF!</f>
        <v>#REF!</v>
      </c>
      <c r="E12" s="254" t="e">
        <f>+'CE Min'!#REF!</f>
        <v>#REF!</v>
      </c>
      <c r="F12" s="254" t="e">
        <f>+'CE Min'!#REF!</f>
        <v>#REF!</v>
      </c>
      <c r="G12" s="254" t="e">
        <f>+'CE Min'!#REF!</f>
        <v>#REF!</v>
      </c>
      <c r="H12" s="254" t="e">
        <f>+'CE Min'!#REF!</f>
        <v>#REF!</v>
      </c>
      <c r="I12" s="254" t="e">
        <f>+'CE Min'!#REF!</f>
        <v>#REF!</v>
      </c>
      <c r="J12" s="254" t="e">
        <f>+'CE Min'!#REF!</f>
        <v>#REF!</v>
      </c>
      <c r="K12" s="254" t="e">
        <f>+'CE Min'!#REF!</f>
        <v>#REF!</v>
      </c>
      <c r="L12" s="254" t="e">
        <f>+'CE Min'!#REF!</f>
        <v>#REF!</v>
      </c>
    </row>
    <row r="13" spans="1:12">
      <c r="A13" s="222" t="s">
        <v>1851</v>
      </c>
      <c r="B13" s="270">
        <f t="shared" si="0"/>
        <v>8</v>
      </c>
      <c r="C13" s="250" t="s">
        <v>341</v>
      </c>
      <c r="D13" s="254" t="e">
        <f>+'CE Min'!#REF!</f>
        <v>#REF!</v>
      </c>
      <c r="E13" s="254" t="e">
        <f>+'CE Min'!#REF!</f>
        <v>#REF!</v>
      </c>
      <c r="F13" s="254" t="e">
        <f>+'CE Min'!#REF!</f>
        <v>#REF!</v>
      </c>
      <c r="G13" s="254" t="e">
        <f>+'CE Min'!#REF!</f>
        <v>#REF!</v>
      </c>
      <c r="H13" s="254" t="e">
        <f>+'CE Min'!#REF!</f>
        <v>#REF!</v>
      </c>
      <c r="I13" s="254" t="e">
        <f>+'CE Min'!#REF!</f>
        <v>#REF!</v>
      </c>
      <c r="J13" s="254" t="e">
        <f>+'CE Min'!#REF!</f>
        <v>#REF!</v>
      </c>
      <c r="K13" s="254" t="e">
        <f>+'CE Min'!#REF!</f>
        <v>#REF!</v>
      </c>
      <c r="L13" s="254" t="e">
        <f>+'CE Min'!#REF!</f>
        <v>#REF!</v>
      </c>
    </row>
    <row r="14" spans="1:12" ht="66.599999999999994" customHeight="1">
      <c r="A14" s="222" t="s">
        <v>1852</v>
      </c>
      <c r="B14" s="270">
        <f t="shared" si="0"/>
        <v>9</v>
      </c>
      <c r="C14" s="251" t="s">
        <v>1853</v>
      </c>
      <c r="D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25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23" t="s">
        <v>1854</v>
      </c>
      <c r="B15" s="270">
        <f t="shared" si="0"/>
        <v>10</v>
      </c>
      <c r="C15" s="249" t="s">
        <v>185</v>
      </c>
      <c r="D15" s="254" t="e">
        <f>+'CE Min'!#REF!</f>
        <v>#REF!</v>
      </c>
      <c r="E15" s="254" t="e">
        <f>+'CE Min'!#REF!</f>
        <v>#REF!</v>
      </c>
      <c r="F15" s="254" t="e">
        <f>+'CE Min'!#REF!</f>
        <v>#REF!</v>
      </c>
      <c r="G15" s="254" t="e">
        <f>+'CE Min'!#REF!</f>
        <v>#REF!</v>
      </c>
      <c r="H15" s="254" t="e">
        <f>+'CE Min'!#REF!</f>
        <v>#REF!</v>
      </c>
      <c r="I15" s="254" t="e">
        <f>+'CE Min'!#REF!</f>
        <v>#REF!</v>
      </c>
      <c r="J15" s="254" t="e">
        <f>+'CE Min'!#REF!</f>
        <v>#REF!</v>
      </c>
      <c r="K15" s="254" t="e">
        <f>+'CE Min'!#REF!</f>
        <v>#REF!</v>
      </c>
      <c r="L15" s="254" t="e">
        <f>+'CE Min'!#REF!</f>
        <v>#REF!</v>
      </c>
    </row>
    <row r="16" spans="1:12">
      <c r="A16" s="222" t="s">
        <v>1855</v>
      </c>
      <c r="B16" s="270">
        <f t="shared" si="0"/>
        <v>11</v>
      </c>
      <c r="C16" s="249" t="s">
        <v>1856</v>
      </c>
      <c r="D16" s="254" t="e">
        <f>+'CE Min'!#REF!+'CE Min'!#REF!</f>
        <v>#REF!</v>
      </c>
      <c r="E16" s="254" t="e">
        <f>+'CE Min'!#REF!+'CE Min'!#REF!</f>
        <v>#REF!</v>
      </c>
      <c r="F16" s="254" t="e">
        <f>+'CE Min'!#REF!+'CE Min'!#REF!</f>
        <v>#REF!</v>
      </c>
      <c r="G16" s="254" t="e">
        <f>+'CE Min'!#REF!+'CE Min'!#REF!</f>
        <v>#REF!</v>
      </c>
      <c r="H16" s="254" t="e">
        <f>+'CE Min'!#REF!+'CE Min'!#REF!</f>
        <v>#REF!</v>
      </c>
      <c r="I16" s="254" t="e">
        <f>+'CE Min'!#REF!+'CE Min'!#REF!</f>
        <v>#REF!</v>
      </c>
      <c r="J16" s="254" t="e">
        <f>+'CE Min'!#REF!+'CE Min'!#REF!</f>
        <v>#REF!</v>
      </c>
      <c r="K16" s="254" t="e">
        <f>+'CE Min'!#REF!+'CE Min'!#REF!</f>
        <v>#REF!</v>
      </c>
      <c r="L16" s="254" t="e">
        <f>+'CE Min'!#REF!+'CE Min'!#REF!</f>
        <v>#REF!</v>
      </c>
    </row>
    <row r="17" spans="1:12">
      <c r="A17" s="224" t="s">
        <v>1857</v>
      </c>
      <c r="B17" s="270">
        <f>+B16+1</f>
        <v>12</v>
      </c>
      <c r="C17" s="251" t="s">
        <v>198</v>
      </c>
      <c r="D17" s="254" t="e">
        <f>+'CE Min'!#REF!</f>
        <v>#REF!</v>
      </c>
      <c r="E17" s="254" t="e">
        <f>+'CE Min'!#REF!</f>
        <v>#REF!</v>
      </c>
      <c r="F17" s="254" t="e">
        <f>+'CE Min'!#REF!</f>
        <v>#REF!</v>
      </c>
      <c r="G17" s="254" t="e">
        <f>+'CE Min'!#REF!</f>
        <v>#REF!</v>
      </c>
      <c r="H17" s="254" t="e">
        <f>+'CE Min'!#REF!</f>
        <v>#REF!</v>
      </c>
      <c r="I17" s="254" t="e">
        <f>+'CE Min'!#REF!</f>
        <v>#REF!</v>
      </c>
      <c r="J17" s="254" t="e">
        <f>+'CE Min'!#REF!</f>
        <v>#REF!</v>
      </c>
      <c r="K17" s="254" t="e">
        <f>+'CE Min'!#REF!</f>
        <v>#REF!</v>
      </c>
      <c r="L17" s="254" t="e">
        <f>+'CE Min'!#REF!</f>
        <v>#REF!</v>
      </c>
    </row>
    <row r="18" spans="1:12" ht="65.650000000000006" customHeight="1">
      <c r="A18" s="225" t="s">
        <v>1858</v>
      </c>
      <c r="B18" s="271">
        <f t="shared" si="0"/>
        <v>13</v>
      </c>
      <c r="C18" s="252" t="s">
        <v>1859</v>
      </c>
      <c r="D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25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26" t="s">
        <v>1860</v>
      </c>
      <c r="B19" s="272" t="s">
        <v>1861</v>
      </c>
      <c r="C19" s="253"/>
      <c r="D19" s="254" t="e">
        <f>D6+D7+D8+D9+D10+D11+D12+D13+D14+D15+D16+D17+D18</f>
        <v>#REF!</v>
      </c>
      <c r="E19" s="254" t="e">
        <f t="shared" ref="E19:L19" si="1">E6+E7+E8+E9+E10+E11+E12+E13+E14+E15+E16+E17+E18</f>
        <v>#REF!</v>
      </c>
      <c r="F19" s="254" t="e">
        <f t="shared" si="1"/>
        <v>#REF!</v>
      </c>
      <c r="G19" s="254" t="e">
        <f t="shared" si="1"/>
        <v>#REF!</v>
      </c>
      <c r="H19" s="254" t="e">
        <f t="shared" si="1"/>
        <v>#REF!</v>
      </c>
      <c r="I19" s="254" t="e">
        <f t="shared" si="1"/>
        <v>#REF!</v>
      </c>
      <c r="J19" s="254" t="e">
        <f t="shared" si="1"/>
        <v>#REF!</v>
      </c>
      <c r="K19" s="254" t="e">
        <f t="shared" si="1"/>
        <v>#REF!</v>
      </c>
      <c r="L19" s="254" t="e">
        <f t="shared" si="1"/>
        <v>#REF!</v>
      </c>
    </row>
    <row r="20" spans="1:12" ht="13.5" thickTop="1">
      <c r="A20" s="227"/>
      <c r="B20" s="273"/>
      <c r="C20" s="228"/>
    </row>
    <row r="21" spans="1:12" ht="13.5" thickBot="1">
      <c r="A21" s="229"/>
      <c r="B21" s="274"/>
      <c r="C21" s="230"/>
    </row>
    <row r="22" spans="1:12" ht="23.65" customHeight="1" thickTop="1">
      <c r="A22" s="888" t="s">
        <v>1862</v>
      </c>
      <c r="B22" s="266"/>
      <c r="C22" s="893" t="s">
        <v>1839</v>
      </c>
      <c r="D22" s="886" t="s">
        <v>1830</v>
      </c>
      <c r="E22" s="886" t="s">
        <v>1831</v>
      </c>
      <c r="F22" s="887" t="s">
        <v>1832</v>
      </c>
      <c r="G22" s="887"/>
      <c r="H22" s="886" t="s">
        <v>1826</v>
      </c>
      <c r="I22" s="886" t="s">
        <v>1827</v>
      </c>
      <c r="J22" s="886" t="s">
        <v>1828</v>
      </c>
      <c r="K22" s="886" t="s">
        <v>1824</v>
      </c>
      <c r="L22" s="886" t="s">
        <v>1825</v>
      </c>
    </row>
    <row r="23" spans="1:12" ht="28.9" customHeight="1">
      <c r="A23" s="889"/>
      <c r="B23" s="267"/>
      <c r="C23" s="894"/>
      <c r="D23" s="886"/>
      <c r="E23" s="886"/>
      <c r="F23" s="886" t="s">
        <v>1833</v>
      </c>
      <c r="G23" s="886" t="s">
        <v>1834</v>
      </c>
      <c r="H23" s="886"/>
      <c r="I23" s="886"/>
      <c r="J23" s="886"/>
      <c r="K23" s="886"/>
      <c r="L23" s="886"/>
    </row>
    <row r="24" spans="1:12" ht="28.15" customHeight="1">
      <c r="A24" s="219" t="s">
        <v>1840</v>
      </c>
      <c r="B24" s="275"/>
      <c r="C24" s="895"/>
      <c r="D24" s="886"/>
      <c r="E24" s="886"/>
      <c r="F24" s="886"/>
      <c r="G24" s="886"/>
      <c r="H24" s="886"/>
      <c r="I24" s="886"/>
      <c r="J24" s="886"/>
      <c r="K24" s="886"/>
      <c r="L24" s="886"/>
    </row>
    <row r="25" spans="1:12" ht="22.5">
      <c r="A25" s="231" t="s">
        <v>1863</v>
      </c>
      <c r="B25" s="276" t="s">
        <v>1864</v>
      </c>
      <c r="C25" s="255"/>
      <c r="D25" s="254" t="e">
        <f>+D26+D27+D28+D29+D30</f>
        <v>#REF!</v>
      </c>
      <c r="E25" s="254" t="e">
        <f t="shared" ref="E25:L25" si="2">+E26+E27+E28+E29+E30</f>
        <v>#REF!</v>
      </c>
      <c r="F25" s="254" t="e">
        <f t="shared" si="2"/>
        <v>#REF!</v>
      </c>
      <c r="G25" s="254" t="e">
        <f t="shared" si="2"/>
        <v>#REF!</v>
      </c>
      <c r="H25" s="254" t="e">
        <f t="shared" si="2"/>
        <v>#REF!</v>
      </c>
      <c r="I25" s="254" t="e">
        <f t="shared" si="2"/>
        <v>#REF!</v>
      </c>
      <c r="J25" s="254" t="e">
        <f t="shared" si="2"/>
        <v>#REF!</v>
      </c>
      <c r="K25" s="254" t="e">
        <f t="shared" si="2"/>
        <v>#REF!</v>
      </c>
      <c r="L25" s="254" t="e">
        <f t="shared" si="2"/>
        <v>#REF!</v>
      </c>
    </row>
    <row r="26" spans="1:12">
      <c r="A26" s="232" t="s">
        <v>1865</v>
      </c>
      <c r="B26" s="233" t="s">
        <v>1866</v>
      </c>
      <c r="C26" s="256" t="s">
        <v>905</v>
      </c>
      <c r="D26" s="254" t="e">
        <f>+'CE Min'!#REF!</f>
        <v>#REF!</v>
      </c>
      <c r="E26" s="254" t="e">
        <f>+'CE Min'!#REF!</f>
        <v>#REF!</v>
      </c>
      <c r="F26" s="254" t="e">
        <f>+'CE Min'!#REF!</f>
        <v>#REF!</v>
      </c>
      <c r="G26" s="254" t="e">
        <f>+'CE Min'!#REF!</f>
        <v>#REF!</v>
      </c>
      <c r="H26" s="254" t="e">
        <f>+'CE Min'!#REF!</f>
        <v>#REF!</v>
      </c>
      <c r="I26" s="254" t="e">
        <f>+'CE Min'!#REF!</f>
        <v>#REF!</v>
      </c>
      <c r="J26" s="254" t="e">
        <f>+'CE Min'!#REF!</f>
        <v>#REF!</v>
      </c>
      <c r="K26" s="254" t="e">
        <f>+'CE Min'!#REF!</f>
        <v>#REF!</v>
      </c>
      <c r="L26" s="254" t="e">
        <f>+'CE Min'!#REF!</f>
        <v>#REF!</v>
      </c>
    </row>
    <row r="27" spans="1:12">
      <c r="A27" s="232" t="s">
        <v>1867</v>
      </c>
      <c r="B27" s="233" t="s">
        <v>1868</v>
      </c>
      <c r="C27" s="256" t="s">
        <v>921</v>
      </c>
      <c r="D27" s="254" t="e">
        <f>+'CE Min'!#REF!</f>
        <v>#REF!</v>
      </c>
      <c r="E27" s="254" t="e">
        <f>+'CE Min'!#REF!</f>
        <v>#REF!</v>
      </c>
      <c r="F27" s="254" t="e">
        <f>+'CE Min'!#REF!</f>
        <v>#REF!</v>
      </c>
      <c r="G27" s="254" t="e">
        <f>+'CE Min'!#REF!</f>
        <v>#REF!</v>
      </c>
      <c r="H27" s="254" t="e">
        <f>+'CE Min'!#REF!</f>
        <v>#REF!</v>
      </c>
      <c r="I27" s="254" t="e">
        <f>+'CE Min'!#REF!</f>
        <v>#REF!</v>
      </c>
      <c r="J27" s="254" t="e">
        <f>+'CE Min'!#REF!</f>
        <v>#REF!</v>
      </c>
      <c r="K27" s="254" t="e">
        <f>+'CE Min'!#REF!</f>
        <v>#REF!</v>
      </c>
      <c r="L27" s="254" t="e">
        <f>+'CE Min'!#REF!</f>
        <v>#REF!</v>
      </c>
    </row>
    <row r="28" spans="1:12">
      <c r="A28" s="232" t="s">
        <v>1869</v>
      </c>
      <c r="B28" s="233" t="s">
        <v>1870</v>
      </c>
      <c r="C28" s="256" t="s">
        <v>932</v>
      </c>
      <c r="D28" s="254" t="e">
        <f>+'CE Min'!#REF!</f>
        <v>#REF!</v>
      </c>
      <c r="E28" s="254" t="e">
        <f>+'CE Min'!#REF!</f>
        <v>#REF!</v>
      </c>
      <c r="F28" s="254" t="e">
        <f>+'CE Min'!#REF!</f>
        <v>#REF!</v>
      </c>
      <c r="G28" s="254" t="e">
        <f>+'CE Min'!#REF!</f>
        <v>#REF!</v>
      </c>
      <c r="H28" s="254" t="e">
        <f>+'CE Min'!#REF!</f>
        <v>#REF!</v>
      </c>
      <c r="I28" s="254" t="e">
        <f>+'CE Min'!#REF!</f>
        <v>#REF!</v>
      </c>
      <c r="J28" s="254" t="e">
        <f>+'CE Min'!#REF!</f>
        <v>#REF!</v>
      </c>
      <c r="K28" s="254" t="e">
        <f>+'CE Min'!#REF!</f>
        <v>#REF!</v>
      </c>
      <c r="L28" s="254" t="e">
        <f>+'CE Min'!#REF!</f>
        <v>#REF!</v>
      </c>
    </row>
    <row r="29" spans="1:12">
      <c r="A29" s="232" t="s">
        <v>1871</v>
      </c>
      <c r="B29" s="233" t="s">
        <v>1872</v>
      </c>
      <c r="C29" s="256" t="s">
        <v>943</v>
      </c>
      <c r="D29" s="254" t="e">
        <f>+'CE Min'!#REF!</f>
        <v>#REF!</v>
      </c>
      <c r="E29" s="254" t="e">
        <f>+'CE Min'!#REF!</f>
        <v>#REF!</v>
      </c>
      <c r="F29" s="254" t="e">
        <f>+'CE Min'!#REF!</f>
        <v>#REF!</v>
      </c>
      <c r="G29" s="254" t="e">
        <f>+'CE Min'!#REF!</f>
        <v>#REF!</v>
      </c>
      <c r="H29" s="254" t="e">
        <f>+'CE Min'!#REF!</f>
        <v>#REF!</v>
      </c>
      <c r="I29" s="254" t="e">
        <f>+'CE Min'!#REF!</f>
        <v>#REF!</v>
      </c>
      <c r="J29" s="254" t="e">
        <f>+'CE Min'!#REF!</f>
        <v>#REF!</v>
      </c>
      <c r="K29" s="254" t="e">
        <f>+'CE Min'!#REF!</f>
        <v>#REF!</v>
      </c>
      <c r="L29" s="254" t="e">
        <f>+'CE Min'!#REF!</f>
        <v>#REF!</v>
      </c>
    </row>
    <row r="30" spans="1:12">
      <c r="A30" s="234" t="s">
        <v>1873</v>
      </c>
      <c r="B30" s="233" t="s">
        <v>1874</v>
      </c>
      <c r="C30" s="256" t="s">
        <v>1875</v>
      </c>
      <c r="D30" s="254" t="e">
        <f>+'CE Min'!#REF!+'CE Min'!#REF!</f>
        <v>#REF!</v>
      </c>
      <c r="E30" s="254" t="e">
        <f>+'CE Min'!#REF!+'CE Min'!#REF!</f>
        <v>#REF!</v>
      </c>
      <c r="F30" s="254" t="e">
        <f>+'CE Min'!#REF!+'CE Min'!#REF!</f>
        <v>#REF!</v>
      </c>
      <c r="G30" s="254" t="e">
        <f>+'CE Min'!#REF!+'CE Min'!#REF!</f>
        <v>#REF!</v>
      </c>
      <c r="H30" s="254" t="e">
        <f>+'CE Min'!#REF!+'CE Min'!#REF!</f>
        <v>#REF!</v>
      </c>
      <c r="I30" s="254" t="e">
        <f>+'CE Min'!#REF!+'CE Min'!#REF!</f>
        <v>#REF!</v>
      </c>
      <c r="J30" s="254" t="e">
        <f>+'CE Min'!#REF!+'CE Min'!#REF!</f>
        <v>#REF!</v>
      </c>
      <c r="K30" s="254" t="e">
        <f>+'CE Min'!#REF!+'CE Min'!#REF!</f>
        <v>#REF!</v>
      </c>
      <c r="L30" s="254" t="e">
        <f>+'CE Min'!#REF!+'CE Min'!#REF!</f>
        <v>#REF!</v>
      </c>
    </row>
    <row r="31" spans="1:12">
      <c r="A31" s="235" t="s">
        <v>1876</v>
      </c>
      <c r="B31" s="277">
        <v>16</v>
      </c>
      <c r="C31" s="257" t="s">
        <v>1202</v>
      </c>
      <c r="D31" s="254" t="e">
        <f>+'CE Min'!#REF!</f>
        <v>#REF!</v>
      </c>
      <c r="E31" s="254" t="e">
        <f>+'CE Min'!#REF!</f>
        <v>#REF!</v>
      </c>
      <c r="F31" s="254" t="e">
        <f>+'CE Min'!#REF!</f>
        <v>#REF!</v>
      </c>
      <c r="G31" s="254" t="e">
        <f>+'CE Min'!#REF!</f>
        <v>#REF!</v>
      </c>
      <c r="H31" s="254" t="e">
        <f>+'CE Min'!#REF!</f>
        <v>#REF!</v>
      </c>
      <c r="I31" s="254" t="e">
        <f>+'CE Min'!#REF!</f>
        <v>#REF!</v>
      </c>
      <c r="J31" s="254" t="e">
        <f>+'CE Min'!#REF!</f>
        <v>#REF!</v>
      </c>
      <c r="K31" s="254" t="e">
        <f>+'CE Min'!#REF!</f>
        <v>#REF!</v>
      </c>
      <c r="L31" s="254" t="e">
        <f>+'CE Min'!#REF!</f>
        <v>#REF!</v>
      </c>
    </row>
    <row r="32" spans="1:12">
      <c r="A32" s="235" t="s">
        <v>1877</v>
      </c>
      <c r="B32" s="277" t="s">
        <v>1878</v>
      </c>
      <c r="C32" s="258"/>
      <c r="D32" s="254" t="e">
        <f>+D33+D34</f>
        <v>#REF!</v>
      </c>
      <c r="E32" s="254" t="e">
        <f t="shared" ref="E32:L32" si="3">+E33+E34</f>
        <v>#REF!</v>
      </c>
      <c r="F32" s="254" t="e">
        <f t="shared" si="3"/>
        <v>#REF!</v>
      </c>
      <c r="G32" s="254" t="e">
        <f t="shared" si="3"/>
        <v>#REF!</v>
      </c>
      <c r="H32" s="254" t="e">
        <f t="shared" si="3"/>
        <v>#REF!</v>
      </c>
      <c r="I32" s="254" t="e">
        <f t="shared" si="3"/>
        <v>#REF!</v>
      </c>
      <c r="J32" s="254" t="e">
        <f t="shared" si="3"/>
        <v>#REF!</v>
      </c>
      <c r="K32" s="254" t="e">
        <f t="shared" si="3"/>
        <v>#REF!</v>
      </c>
      <c r="L32" s="254" t="e">
        <f t="shared" si="3"/>
        <v>#REF!</v>
      </c>
    </row>
    <row r="33" spans="1:12" ht="30" customHeight="1">
      <c r="A33" s="236" t="s">
        <v>1879</v>
      </c>
      <c r="B33" s="237" t="s">
        <v>1880</v>
      </c>
      <c r="C33" s="256" t="s">
        <v>1881</v>
      </c>
      <c r="D33" s="254" t="e">
        <f>+'CE Min'!#REF!-'CE Min'!#REF!-'CE Min'!#REF!-'CE Min'!#REF!-'CE Min'!#REF!</f>
        <v>#REF!</v>
      </c>
      <c r="E33" s="254" t="e">
        <f>+'CE Min'!#REF!-'CE Min'!#REF!-'CE Min'!#REF!-'CE Min'!#REF!-'CE Min'!#REF!</f>
        <v>#REF!</v>
      </c>
      <c r="F33" s="254" t="e">
        <f>+'CE Min'!#REF!-'CE Min'!#REF!-'CE Min'!#REF!-'CE Min'!#REF!-'CE Min'!#REF!</f>
        <v>#REF!</v>
      </c>
      <c r="G33" s="254" t="e">
        <f>+'CE Min'!#REF!-'CE Min'!#REF!-'CE Min'!#REF!-'CE Min'!#REF!-'CE Min'!#REF!</f>
        <v>#REF!</v>
      </c>
      <c r="H33" s="254" t="e">
        <f>+'CE Min'!#REF!-'CE Min'!#REF!-'CE Min'!#REF!-'CE Min'!#REF!-'CE Min'!#REF!</f>
        <v>#REF!</v>
      </c>
      <c r="I33" s="254" t="e">
        <f>+'CE Min'!#REF!-'CE Min'!#REF!-'CE Min'!#REF!-'CE Min'!#REF!-'CE Min'!#REF!</f>
        <v>#REF!</v>
      </c>
      <c r="J33" s="254" t="e">
        <f>+'CE Min'!#REF!-'CE Min'!#REF!-'CE Min'!#REF!-'CE Min'!#REF!-'CE Min'!#REF!</f>
        <v>#REF!</v>
      </c>
      <c r="K33" s="254" t="e">
        <f>+'CE Min'!#REF!-'CE Min'!#REF!-'CE Min'!#REF!-'CE Min'!#REF!-'CE Min'!#REF!</f>
        <v>#REF!</v>
      </c>
      <c r="L33" s="254" t="e">
        <f>+'CE Min'!#REF!-'CE Min'!#REF!-'CE Min'!#REF!-'CE Min'!#REF!-'CE Min'!#REF!</f>
        <v>#REF!</v>
      </c>
    </row>
    <row r="34" spans="1:12">
      <c r="A34" s="236" t="s">
        <v>1882</v>
      </c>
      <c r="B34" s="237" t="s">
        <v>1883</v>
      </c>
      <c r="C34" s="257" t="s">
        <v>509</v>
      </c>
      <c r="D34" s="254" t="e">
        <f>+'CE Min'!#REF!</f>
        <v>#REF!</v>
      </c>
      <c r="E34" s="254" t="e">
        <f>+'CE Min'!#REF!</f>
        <v>#REF!</v>
      </c>
      <c r="F34" s="254" t="e">
        <f>+'CE Min'!#REF!</f>
        <v>#REF!</v>
      </c>
      <c r="G34" s="254" t="e">
        <f>+'CE Min'!#REF!</f>
        <v>#REF!</v>
      </c>
      <c r="H34" s="254" t="e">
        <f>+'CE Min'!#REF!</f>
        <v>#REF!</v>
      </c>
      <c r="I34" s="254" t="e">
        <f>+'CE Min'!#REF!</f>
        <v>#REF!</v>
      </c>
      <c r="J34" s="254" t="e">
        <f>+'CE Min'!#REF!</f>
        <v>#REF!</v>
      </c>
      <c r="K34" s="254" t="e">
        <f>+'CE Min'!#REF!</f>
        <v>#REF!</v>
      </c>
      <c r="L34" s="254" t="e">
        <f>+'CE Min'!#REF!</f>
        <v>#REF!</v>
      </c>
    </row>
    <row r="35" spans="1:12">
      <c r="A35" s="235" t="s">
        <v>1884</v>
      </c>
      <c r="B35" s="277" t="s">
        <v>1885</v>
      </c>
      <c r="C35" s="258"/>
      <c r="D35" s="254" t="e">
        <f>+D36+D37</f>
        <v>#REF!</v>
      </c>
      <c r="E35" s="254" t="e">
        <f t="shared" ref="E35:L35" si="4">+E36+E37</f>
        <v>#REF!</v>
      </c>
      <c r="F35" s="254" t="e">
        <f t="shared" si="4"/>
        <v>#REF!</v>
      </c>
      <c r="G35" s="254" t="e">
        <f t="shared" si="4"/>
        <v>#REF!</v>
      </c>
      <c r="H35" s="254" t="e">
        <f t="shared" si="4"/>
        <v>#REF!</v>
      </c>
      <c r="I35" s="254" t="e">
        <f t="shared" si="4"/>
        <v>#REF!</v>
      </c>
      <c r="J35" s="254" t="e">
        <f t="shared" si="4"/>
        <v>#REF!</v>
      </c>
      <c r="K35" s="254" t="e">
        <f t="shared" si="4"/>
        <v>#REF!</v>
      </c>
      <c r="L35" s="254" t="e">
        <f t="shared" si="4"/>
        <v>#REF!</v>
      </c>
    </row>
    <row r="36" spans="1:12">
      <c r="A36" s="236" t="s">
        <v>1886</v>
      </c>
      <c r="B36" s="237" t="s">
        <v>1887</v>
      </c>
      <c r="C36" s="257" t="s">
        <v>1888</v>
      </c>
      <c r="D36" s="254" t="e">
        <f>+'CE Min'!#REF!+'CE Min'!#REF!-'CE Min'!#REF!+'CE Min'!#REF!</f>
        <v>#REF!</v>
      </c>
      <c r="E36" s="254" t="e">
        <f>+'CE Min'!#REF!+'CE Min'!#REF!-'CE Min'!#REF!+'CE Min'!#REF!</f>
        <v>#REF!</v>
      </c>
      <c r="F36" s="254" t="e">
        <f>+'CE Min'!#REF!+'CE Min'!#REF!-'CE Min'!#REF!+'CE Min'!#REF!</f>
        <v>#REF!</v>
      </c>
      <c r="G36" s="254" t="e">
        <f>+'CE Min'!#REF!+'CE Min'!#REF!-'CE Min'!#REF!+'CE Min'!#REF!</f>
        <v>#REF!</v>
      </c>
      <c r="H36" s="254" t="e">
        <f>+'CE Min'!#REF!+'CE Min'!#REF!-'CE Min'!#REF!+'CE Min'!#REF!</f>
        <v>#REF!</v>
      </c>
      <c r="I36" s="254" t="e">
        <f>+'CE Min'!#REF!+'CE Min'!#REF!-'CE Min'!#REF!+'CE Min'!#REF!</f>
        <v>#REF!</v>
      </c>
      <c r="J36" s="254" t="e">
        <f>+'CE Min'!#REF!+'CE Min'!#REF!-'CE Min'!#REF!+'CE Min'!#REF!</f>
        <v>#REF!</v>
      </c>
      <c r="K36" s="254" t="e">
        <f>+'CE Min'!#REF!+'CE Min'!#REF!-'CE Min'!#REF!+'CE Min'!#REF!</f>
        <v>#REF!</v>
      </c>
      <c r="L36" s="254" t="e">
        <f>+'CE Min'!#REF!+'CE Min'!#REF!-'CE Min'!#REF!+'CE Min'!#REF!</f>
        <v>#REF!</v>
      </c>
    </row>
    <row r="37" spans="1:12" ht="33.6" customHeight="1">
      <c r="A37" s="236" t="s">
        <v>1889</v>
      </c>
      <c r="B37" s="237" t="s">
        <v>1890</v>
      </c>
      <c r="C37" s="256" t="s">
        <v>1891</v>
      </c>
      <c r="D37" s="254" t="e">
        <f>+'CE Min'!#REF!+'CE Min'!#REF!+'CE Min'!#REF!+'CE Min'!#REF!+'CE Min'!#REF!-'CE Min'!#REF!+'CE Min'!#REF!</f>
        <v>#REF!</v>
      </c>
      <c r="E37" s="254" t="e">
        <f>+'CE Min'!#REF!+'CE Min'!#REF!+'CE Min'!#REF!+'CE Min'!#REF!+'CE Min'!#REF!-'CE Min'!#REF!+'CE Min'!#REF!</f>
        <v>#REF!</v>
      </c>
      <c r="F37" s="254" t="e">
        <f>+'CE Min'!#REF!+'CE Min'!#REF!+'CE Min'!#REF!+'CE Min'!#REF!+'CE Min'!#REF!-'CE Min'!#REF!+'CE Min'!#REF!</f>
        <v>#REF!</v>
      </c>
      <c r="G37" s="254" t="e">
        <f>+'CE Min'!#REF!+'CE Min'!#REF!+'CE Min'!#REF!+'CE Min'!#REF!+'CE Min'!#REF!-'CE Min'!#REF!+'CE Min'!#REF!</f>
        <v>#REF!</v>
      </c>
      <c r="H37" s="254" t="e">
        <f>+'CE Min'!#REF!+'CE Min'!#REF!+'CE Min'!#REF!+'CE Min'!#REF!+'CE Min'!#REF!-'CE Min'!#REF!+'CE Min'!#REF!</f>
        <v>#REF!</v>
      </c>
      <c r="I37" s="254" t="e">
        <f>+'CE Min'!#REF!+'CE Min'!#REF!+'CE Min'!#REF!+'CE Min'!#REF!+'CE Min'!#REF!-'CE Min'!#REF!+'CE Min'!#REF!</f>
        <v>#REF!</v>
      </c>
      <c r="J37" s="254" t="e">
        <f>+'CE Min'!#REF!+'CE Min'!#REF!+'CE Min'!#REF!+'CE Min'!#REF!+'CE Min'!#REF!-'CE Min'!#REF!+'CE Min'!#REF!</f>
        <v>#REF!</v>
      </c>
      <c r="K37" s="254" t="e">
        <f>+'CE Min'!#REF!+'CE Min'!#REF!+'CE Min'!#REF!+'CE Min'!#REF!+'CE Min'!#REF!-'CE Min'!#REF!+'CE Min'!#REF!</f>
        <v>#REF!</v>
      </c>
      <c r="L37" s="254" t="e">
        <f>+'CE Min'!#REF!+'CE Min'!#REF!+'CE Min'!#REF!+'CE Min'!#REF!+'CE Min'!#REF!-'CE Min'!#REF!+'CE Min'!#REF!</f>
        <v>#REF!</v>
      </c>
    </row>
    <row r="38" spans="1:12" ht="22.5">
      <c r="A38" s="238" t="s">
        <v>1892</v>
      </c>
      <c r="B38" s="278" t="s">
        <v>1893</v>
      </c>
      <c r="C38" s="258"/>
      <c r="D38" s="254" t="e">
        <f>+D39+D40+D41+D42+D43+D44+D45</f>
        <v>#REF!</v>
      </c>
      <c r="E38" s="254" t="e">
        <f t="shared" ref="E38:L38" si="5">+E39+E40+E41+E42+E43+E44+E45</f>
        <v>#REF!</v>
      </c>
      <c r="F38" s="254" t="e">
        <f t="shared" si="5"/>
        <v>#REF!</v>
      </c>
      <c r="G38" s="254" t="e">
        <f t="shared" si="5"/>
        <v>#REF!</v>
      </c>
      <c r="H38" s="254" t="e">
        <f t="shared" si="5"/>
        <v>#REF!</v>
      </c>
      <c r="I38" s="254" t="e">
        <f t="shared" si="5"/>
        <v>#REF!</v>
      </c>
      <c r="J38" s="254" t="e">
        <f t="shared" si="5"/>
        <v>#REF!</v>
      </c>
      <c r="K38" s="254" t="e">
        <f t="shared" si="5"/>
        <v>#REF!</v>
      </c>
      <c r="L38" s="254" t="e">
        <f t="shared" si="5"/>
        <v>#REF!</v>
      </c>
    </row>
    <row r="39" spans="1:12">
      <c r="A39" s="239" t="s">
        <v>1894</v>
      </c>
      <c r="B39" s="237" t="s">
        <v>1895</v>
      </c>
      <c r="C39" s="257" t="s">
        <v>529</v>
      </c>
      <c r="D39" s="254" t="e">
        <f>+'CE Min'!#REF!</f>
        <v>#REF!</v>
      </c>
      <c r="E39" s="254" t="e">
        <f>+'CE Min'!#REF!</f>
        <v>#REF!</v>
      </c>
      <c r="F39" s="254" t="e">
        <f>+'CE Min'!#REF!</f>
        <v>#REF!</v>
      </c>
      <c r="G39" s="254" t="e">
        <f>+'CE Min'!#REF!</f>
        <v>#REF!</v>
      </c>
      <c r="H39" s="254" t="e">
        <f>+'CE Min'!#REF!</f>
        <v>#REF!</v>
      </c>
      <c r="I39" s="254" t="e">
        <f>+'CE Min'!#REF!</f>
        <v>#REF!</v>
      </c>
      <c r="J39" s="254" t="e">
        <f>+'CE Min'!#REF!</f>
        <v>#REF!</v>
      </c>
      <c r="K39" s="254" t="e">
        <f>+'CE Min'!#REF!</f>
        <v>#REF!</v>
      </c>
      <c r="L39" s="254" t="e">
        <f>+'CE Min'!#REF!</f>
        <v>#REF!</v>
      </c>
    </row>
    <row r="40" spans="1:12">
      <c r="A40" s="239" t="s">
        <v>1896</v>
      </c>
      <c r="B40" s="237" t="s">
        <v>1897</v>
      </c>
      <c r="C40" s="257" t="s">
        <v>1898</v>
      </c>
      <c r="D40" s="254" t="e">
        <f>+'CE Min'!#REF!</f>
        <v>#REF!</v>
      </c>
      <c r="E40" s="254" t="e">
        <f>+'CE Min'!#REF!</f>
        <v>#REF!</v>
      </c>
      <c r="F40" s="254" t="e">
        <f>+'CE Min'!#REF!</f>
        <v>#REF!</v>
      </c>
      <c r="G40" s="254" t="e">
        <f>+'CE Min'!#REF!</f>
        <v>#REF!</v>
      </c>
      <c r="H40" s="254" t="e">
        <f>+'CE Min'!#REF!</f>
        <v>#REF!</v>
      </c>
      <c r="I40" s="254" t="e">
        <f>+'CE Min'!#REF!</f>
        <v>#REF!</v>
      </c>
      <c r="J40" s="254" t="e">
        <f>+'CE Min'!#REF!</f>
        <v>#REF!</v>
      </c>
      <c r="K40" s="254" t="e">
        <f>+'CE Min'!#REF!</f>
        <v>#REF!</v>
      </c>
      <c r="L40" s="254" t="e">
        <f>+'CE Min'!#REF!</f>
        <v>#REF!</v>
      </c>
    </row>
    <row r="41" spans="1:12">
      <c r="A41" s="240" t="s">
        <v>1899</v>
      </c>
      <c r="B41" s="237" t="s">
        <v>1900</v>
      </c>
      <c r="C41" s="257" t="s">
        <v>1901</v>
      </c>
      <c r="D41" s="254" t="e">
        <f>+'CE Min'!#REF!</f>
        <v>#REF!</v>
      </c>
      <c r="E41" s="254" t="e">
        <f>+'CE Min'!#REF!</f>
        <v>#REF!</v>
      </c>
      <c r="F41" s="254" t="e">
        <f>+'CE Min'!#REF!</f>
        <v>#REF!</v>
      </c>
      <c r="G41" s="254" t="e">
        <f>+'CE Min'!#REF!</f>
        <v>#REF!</v>
      </c>
      <c r="H41" s="254" t="e">
        <f>+'CE Min'!#REF!</f>
        <v>#REF!</v>
      </c>
      <c r="I41" s="254" t="e">
        <f>+'CE Min'!#REF!</f>
        <v>#REF!</v>
      </c>
      <c r="J41" s="254" t="e">
        <f>+'CE Min'!#REF!</f>
        <v>#REF!</v>
      </c>
      <c r="K41" s="254" t="e">
        <f>+'CE Min'!#REF!</f>
        <v>#REF!</v>
      </c>
      <c r="L41" s="254" t="e">
        <f>+'CE Min'!#REF!</f>
        <v>#REF!</v>
      </c>
    </row>
    <row r="42" spans="1:12">
      <c r="A42" s="239" t="s">
        <v>1902</v>
      </c>
      <c r="B42" s="237" t="s">
        <v>1903</v>
      </c>
      <c r="C42" s="257" t="s">
        <v>1904</v>
      </c>
      <c r="D42" s="254" t="e">
        <f>+'CE Min'!#REF!+'CE Min'!#REF!</f>
        <v>#REF!</v>
      </c>
      <c r="E42" s="254" t="e">
        <f>+'CE Min'!#REF!+'CE Min'!#REF!</f>
        <v>#REF!</v>
      </c>
      <c r="F42" s="254" t="e">
        <f>+'CE Min'!#REF!+'CE Min'!#REF!</f>
        <v>#REF!</v>
      </c>
      <c r="G42" s="254" t="e">
        <f>+'CE Min'!#REF!+'CE Min'!#REF!</f>
        <v>#REF!</v>
      </c>
      <c r="H42" s="254" t="e">
        <f>+'CE Min'!#REF!+'CE Min'!#REF!</f>
        <v>#REF!</v>
      </c>
      <c r="I42" s="254" t="e">
        <f>+'CE Min'!#REF!+'CE Min'!#REF!</f>
        <v>#REF!</v>
      </c>
      <c r="J42" s="254" t="e">
        <f>+'CE Min'!#REF!+'CE Min'!#REF!</f>
        <v>#REF!</v>
      </c>
      <c r="K42" s="254" t="e">
        <f>+'CE Min'!#REF!+'CE Min'!#REF!</f>
        <v>#REF!</v>
      </c>
      <c r="L42" s="254" t="e">
        <f>+'CE Min'!#REF!+'CE Min'!#REF!</f>
        <v>#REF!</v>
      </c>
    </row>
    <row r="43" spans="1:12">
      <c r="A43" s="239" t="s">
        <v>1905</v>
      </c>
      <c r="B43" s="237" t="s">
        <v>1906</v>
      </c>
      <c r="C43" s="257" t="s">
        <v>1907</v>
      </c>
      <c r="D43" s="254" t="e">
        <f>+'CE Min'!#REF!+'CE Min'!#REF!</f>
        <v>#REF!</v>
      </c>
      <c r="E43" s="254" t="e">
        <f>+'CE Min'!#REF!+'CE Min'!#REF!</f>
        <v>#REF!</v>
      </c>
      <c r="F43" s="254" t="e">
        <f>+'CE Min'!#REF!+'CE Min'!#REF!</f>
        <v>#REF!</v>
      </c>
      <c r="G43" s="254" t="e">
        <f>+'CE Min'!#REF!+'CE Min'!#REF!</f>
        <v>#REF!</v>
      </c>
      <c r="H43" s="254" t="e">
        <f>+'CE Min'!#REF!+'CE Min'!#REF!</f>
        <v>#REF!</v>
      </c>
      <c r="I43" s="254" t="e">
        <f>+'CE Min'!#REF!+'CE Min'!#REF!</f>
        <v>#REF!</v>
      </c>
      <c r="J43" s="254" t="e">
        <f>+'CE Min'!#REF!+'CE Min'!#REF!</f>
        <v>#REF!</v>
      </c>
      <c r="K43" s="254" t="e">
        <f>+'CE Min'!#REF!+'CE Min'!#REF!</f>
        <v>#REF!</v>
      </c>
      <c r="L43" s="254" t="e">
        <f>+'CE Min'!#REF!+'CE Min'!#REF!</f>
        <v>#REF!</v>
      </c>
    </row>
    <row r="44" spans="1:12">
      <c r="A44" s="239" t="s">
        <v>1908</v>
      </c>
      <c r="B44" s="237" t="s">
        <v>1909</v>
      </c>
      <c r="C44" s="257" t="s">
        <v>1910</v>
      </c>
      <c r="D44" s="254" t="e">
        <f>+'CE Min'!#REF!+'CE Min'!#REF!</f>
        <v>#REF!</v>
      </c>
      <c r="E44" s="254" t="e">
        <f>+'CE Min'!#REF!+'CE Min'!#REF!</f>
        <v>#REF!</v>
      </c>
      <c r="F44" s="254" t="e">
        <f>+'CE Min'!#REF!+'CE Min'!#REF!</f>
        <v>#REF!</v>
      </c>
      <c r="G44" s="254" t="e">
        <f>+'CE Min'!#REF!+'CE Min'!#REF!</f>
        <v>#REF!</v>
      </c>
      <c r="H44" s="254" t="e">
        <f>+'CE Min'!#REF!+'CE Min'!#REF!</f>
        <v>#REF!</v>
      </c>
      <c r="I44" s="254" t="e">
        <f>+'CE Min'!#REF!+'CE Min'!#REF!</f>
        <v>#REF!</v>
      </c>
      <c r="J44" s="254" t="e">
        <f>+'CE Min'!#REF!+'CE Min'!#REF!</f>
        <v>#REF!</v>
      </c>
      <c r="K44" s="254" t="e">
        <f>+'CE Min'!#REF!+'CE Min'!#REF!</f>
        <v>#REF!</v>
      </c>
      <c r="L44" s="254" t="e">
        <f>+'CE Min'!#REF!+'CE Min'!#REF!</f>
        <v>#REF!</v>
      </c>
    </row>
    <row r="45" spans="1:12" ht="82.9" customHeight="1">
      <c r="A45" s="239" t="s">
        <v>1911</v>
      </c>
      <c r="B45" s="237" t="s">
        <v>1912</v>
      </c>
      <c r="C45" s="256" t="s">
        <v>1913</v>
      </c>
      <c r="D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25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41" t="s">
        <v>1914</v>
      </c>
      <c r="B46" s="277">
        <v>20</v>
      </c>
      <c r="C46" s="256" t="s">
        <v>1915</v>
      </c>
      <c r="D46" s="254" t="e">
        <f>+'CE Min'!#REF!+'CE Min'!#REF!+'CE Min'!#REF!+'CE Min'!#REF!+'CE Min'!#REF!+'CE Min'!#REF!+'CE Min'!#REF!+'CE Min'!#REF!+'CE Min'!#REF!+'CE Min'!#REF!+'CE Min'!#REF!+'CE Min'!#REF!+'CE Min'!#REF!</f>
        <v>#REF!</v>
      </c>
      <c r="E46" s="254" t="e">
        <f>+'CE Min'!#REF!+'CE Min'!#REF!+'CE Min'!#REF!+'CE Min'!#REF!+'CE Min'!#REF!+'CE Min'!#REF!+'CE Min'!#REF!+'CE Min'!#REF!+'CE Min'!#REF!+'CE Min'!#REF!+'CE Min'!#REF!+'CE Min'!#REF!+'CE Min'!#REF!</f>
        <v>#REF!</v>
      </c>
      <c r="F46" s="254" t="e">
        <f>+'CE Min'!#REF!+'CE Min'!#REF!+'CE Min'!#REF!+'CE Min'!#REF!+'CE Min'!#REF!+'CE Min'!#REF!+'CE Min'!#REF!+'CE Min'!#REF!+'CE Min'!#REF!+'CE Min'!#REF!+'CE Min'!#REF!+'CE Min'!#REF!+'CE Min'!#REF!</f>
        <v>#REF!</v>
      </c>
      <c r="G46" s="254" t="e">
        <f>+'CE Min'!#REF!+'CE Min'!#REF!+'CE Min'!#REF!+'CE Min'!#REF!+'CE Min'!#REF!+'CE Min'!#REF!+'CE Min'!#REF!+'CE Min'!#REF!+'CE Min'!#REF!+'CE Min'!#REF!+'CE Min'!#REF!+'CE Min'!#REF!+'CE Min'!#REF!</f>
        <v>#REF!</v>
      </c>
      <c r="H46" s="254" t="e">
        <f>+'CE Min'!#REF!+'CE Min'!#REF!+'CE Min'!#REF!+'CE Min'!#REF!+'CE Min'!#REF!+'CE Min'!#REF!+'CE Min'!#REF!+'CE Min'!#REF!+'CE Min'!#REF!+'CE Min'!#REF!+'CE Min'!#REF!+'CE Min'!#REF!+'CE Min'!#REF!</f>
        <v>#REF!</v>
      </c>
      <c r="I46" s="254" t="e">
        <f>+'CE Min'!#REF!+'CE Min'!#REF!+'CE Min'!#REF!+'CE Min'!#REF!+'CE Min'!#REF!+'CE Min'!#REF!+'CE Min'!#REF!+'CE Min'!#REF!+'CE Min'!#REF!+'CE Min'!#REF!+'CE Min'!#REF!+'CE Min'!#REF!+'CE Min'!#REF!</f>
        <v>#REF!</v>
      </c>
      <c r="J46" s="254" t="e">
        <f>+'CE Min'!#REF!+'CE Min'!#REF!+'CE Min'!#REF!+'CE Min'!#REF!+'CE Min'!#REF!+'CE Min'!#REF!+'CE Min'!#REF!+'CE Min'!#REF!+'CE Min'!#REF!+'CE Min'!#REF!+'CE Min'!#REF!+'CE Min'!#REF!+'CE Min'!#REF!</f>
        <v>#REF!</v>
      </c>
      <c r="K46" s="254" t="e">
        <f>+'CE Min'!#REF!+'CE Min'!#REF!+'CE Min'!#REF!+'CE Min'!#REF!+'CE Min'!#REF!+'CE Min'!#REF!+'CE Min'!#REF!+'CE Min'!#REF!+'CE Min'!#REF!+'CE Min'!#REF!+'CE Min'!#REF!+'CE Min'!#REF!+'CE Min'!#REF!</f>
        <v>#REF!</v>
      </c>
      <c r="L46" s="254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38" t="s">
        <v>1916</v>
      </c>
      <c r="B47" s="277">
        <v>21</v>
      </c>
      <c r="C47" s="257" t="s">
        <v>1078</v>
      </c>
      <c r="D47" s="254" t="e">
        <f>+'CE Min'!#REF!</f>
        <v>#REF!</v>
      </c>
      <c r="E47" s="254" t="e">
        <f>+'CE Min'!#REF!</f>
        <v>#REF!</v>
      </c>
      <c r="F47" s="254" t="e">
        <f>+'CE Min'!#REF!</f>
        <v>#REF!</v>
      </c>
      <c r="G47" s="254" t="e">
        <f>+'CE Min'!#REF!</f>
        <v>#REF!</v>
      </c>
      <c r="H47" s="254" t="e">
        <f>+'CE Min'!#REF!</f>
        <v>#REF!</v>
      </c>
      <c r="I47" s="254" t="e">
        <f>+'CE Min'!#REF!</f>
        <v>#REF!</v>
      </c>
      <c r="J47" s="254" t="e">
        <f>+'CE Min'!#REF!</f>
        <v>#REF!</v>
      </c>
      <c r="K47" s="254" t="e">
        <f>+'CE Min'!#REF!</f>
        <v>#REF!</v>
      </c>
      <c r="L47" s="254" t="e">
        <f>+'CE Min'!#REF!</f>
        <v>#REF!</v>
      </c>
    </row>
    <row r="48" spans="1:12">
      <c r="A48" s="238" t="s">
        <v>1917</v>
      </c>
      <c r="B48" s="277">
        <v>22</v>
      </c>
      <c r="C48" s="259" t="s">
        <v>1918</v>
      </c>
      <c r="D48" s="254" t="e">
        <f>+'CE Min'!#REF!+'CE Min'!#REF!</f>
        <v>#REF!</v>
      </c>
      <c r="E48" s="254" t="e">
        <f>+'CE Min'!#REF!+'CE Min'!#REF!</f>
        <v>#REF!</v>
      </c>
      <c r="F48" s="254" t="e">
        <f>+'CE Min'!#REF!+'CE Min'!#REF!</f>
        <v>#REF!</v>
      </c>
      <c r="G48" s="254" t="e">
        <f>+'CE Min'!#REF!+'CE Min'!#REF!</f>
        <v>#REF!</v>
      </c>
      <c r="H48" s="254" t="e">
        <f>+'CE Min'!#REF!+'CE Min'!#REF!</f>
        <v>#REF!</v>
      </c>
      <c r="I48" s="254" t="e">
        <f>+'CE Min'!#REF!+'CE Min'!#REF!</f>
        <v>#REF!</v>
      </c>
      <c r="J48" s="254" t="e">
        <f>+'CE Min'!#REF!+'CE Min'!#REF!</f>
        <v>#REF!</v>
      </c>
      <c r="K48" s="254" t="e">
        <f>+'CE Min'!#REF!+'CE Min'!#REF!</f>
        <v>#REF!</v>
      </c>
      <c r="L48" s="254" t="e">
        <f>+'CE Min'!#REF!+'CE Min'!#REF!</f>
        <v>#REF!</v>
      </c>
    </row>
    <row r="49" spans="1:12">
      <c r="A49" s="238" t="s">
        <v>1919</v>
      </c>
      <c r="B49" s="277">
        <v>23</v>
      </c>
      <c r="C49" s="259" t="s">
        <v>1920</v>
      </c>
      <c r="D49" s="254" t="e">
        <f>+'CE Min'!#REF!+'CE Min'!#REF!+'CE Min'!#REF!</f>
        <v>#REF!</v>
      </c>
      <c r="E49" s="254" t="e">
        <f>+'CE Min'!#REF!+'CE Min'!#REF!+'CE Min'!#REF!</f>
        <v>#REF!</v>
      </c>
      <c r="F49" s="254" t="e">
        <f>+'CE Min'!#REF!+'CE Min'!#REF!+'CE Min'!#REF!</f>
        <v>#REF!</v>
      </c>
      <c r="G49" s="254" t="e">
        <f>+'CE Min'!#REF!+'CE Min'!#REF!+'CE Min'!#REF!</f>
        <v>#REF!</v>
      </c>
      <c r="H49" s="254" t="e">
        <f>+'CE Min'!#REF!+'CE Min'!#REF!+'CE Min'!#REF!</f>
        <v>#REF!</v>
      </c>
      <c r="I49" s="254" t="e">
        <f>+'CE Min'!#REF!+'CE Min'!#REF!+'CE Min'!#REF!</f>
        <v>#REF!</v>
      </c>
      <c r="J49" s="254" t="e">
        <f>+'CE Min'!#REF!+'CE Min'!#REF!+'CE Min'!#REF!</f>
        <v>#REF!</v>
      </c>
      <c r="K49" s="254" t="e">
        <f>+'CE Min'!#REF!+'CE Min'!#REF!+'CE Min'!#REF!</f>
        <v>#REF!</v>
      </c>
      <c r="L49" s="254" t="e">
        <f>+'CE Min'!#REF!+'CE Min'!#REF!+'CE Min'!#REF!</f>
        <v>#REF!</v>
      </c>
    </row>
    <row r="50" spans="1:12">
      <c r="A50" s="242" t="s">
        <v>1921</v>
      </c>
      <c r="B50" s="277">
        <v>24</v>
      </c>
      <c r="C50" s="260" t="s">
        <v>1653</v>
      </c>
      <c r="D50" s="254" t="e">
        <f>+'CE Min'!#REF!</f>
        <v>#REF!</v>
      </c>
      <c r="E50" s="254" t="e">
        <f>+'CE Min'!#REF!</f>
        <v>#REF!</v>
      </c>
      <c r="F50" s="254" t="e">
        <f>+'CE Min'!#REF!</f>
        <v>#REF!</v>
      </c>
      <c r="G50" s="254" t="e">
        <f>+'CE Min'!#REF!</f>
        <v>#REF!</v>
      </c>
      <c r="H50" s="254" t="e">
        <f>+'CE Min'!#REF!</f>
        <v>#REF!</v>
      </c>
      <c r="I50" s="254" t="e">
        <f>+'CE Min'!#REF!</f>
        <v>#REF!</v>
      </c>
      <c r="J50" s="254" t="e">
        <f>+'CE Min'!#REF!</f>
        <v>#REF!</v>
      </c>
      <c r="K50" s="254" t="e">
        <f>+'CE Min'!#REF!</f>
        <v>#REF!</v>
      </c>
      <c r="L50" s="254" t="e">
        <f>+'CE Min'!#REF!</f>
        <v>#REF!</v>
      </c>
    </row>
    <row r="51" spans="1:12" ht="83.65" customHeight="1">
      <c r="A51" s="243" t="s">
        <v>1922</v>
      </c>
      <c r="B51" s="277">
        <v>25</v>
      </c>
      <c r="C51" s="261" t="s">
        <v>1923</v>
      </c>
      <c r="D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25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43" t="s">
        <v>1924</v>
      </c>
      <c r="B52" s="277">
        <v>26</v>
      </c>
      <c r="C52" s="261" t="s">
        <v>1925</v>
      </c>
      <c r="D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25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38" t="s">
        <v>1926</v>
      </c>
      <c r="B53" s="277">
        <v>27</v>
      </c>
      <c r="C53" s="262" t="s">
        <v>1927</v>
      </c>
      <c r="D53" s="254" t="e">
        <f>-'CE Min'!#REF!+'CE Min'!#REF!+'CE Min'!#REF!</f>
        <v>#REF!</v>
      </c>
      <c r="E53" s="254" t="e">
        <f>-'CE Min'!#REF!+'CE Min'!#REF!+'CE Min'!#REF!</f>
        <v>#REF!</v>
      </c>
      <c r="F53" s="254" t="e">
        <f>-'CE Min'!#REF!+'CE Min'!#REF!+'CE Min'!#REF!</f>
        <v>#REF!</v>
      </c>
      <c r="G53" s="254" t="e">
        <f>-'CE Min'!#REF!+'CE Min'!#REF!+'CE Min'!#REF!</f>
        <v>#REF!</v>
      </c>
      <c r="H53" s="254" t="e">
        <f>-'CE Min'!#REF!+'CE Min'!#REF!+'CE Min'!#REF!</f>
        <v>#REF!</v>
      </c>
      <c r="I53" s="254" t="e">
        <f>-'CE Min'!#REF!+'CE Min'!#REF!+'CE Min'!#REF!</f>
        <v>#REF!</v>
      </c>
      <c r="J53" s="254" t="e">
        <f>-'CE Min'!#REF!+'CE Min'!#REF!+'CE Min'!#REF!</f>
        <v>#REF!</v>
      </c>
      <c r="K53" s="254" t="e">
        <f>-'CE Min'!#REF!+'CE Min'!#REF!+'CE Min'!#REF!</f>
        <v>#REF!</v>
      </c>
      <c r="L53" s="254" t="e">
        <f>-'CE Min'!#REF!+'CE Min'!#REF!+'CE Min'!#REF!</f>
        <v>#REF!</v>
      </c>
    </row>
    <row r="54" spans="1:12" ht="34.15" customHeight="1">
      <c r="A54" s="238" t="s">
        <v>1928</v>
      </c>
      <c r="B54" s="277">
        <v>28</v>
      </c>
      <c r="C54" s="263" t="s">
        <v>1929</v>
      </c>
      <c r="D54" s="254" t="e">
        <f>-'CE Min'!#REF!+'CE Min'!#REF!+'CE Min'!#REF!+'CE Min'!#REF!</f>
        <v>#REF!</v>
      </c>
      <c r="E54" s="254" t="e">
        <f>-'CE Min'!#REF!+'CE Min'!#REF!+'CE Min'!#REF!+'CE Min'!#REF!</f>
        <v>#REF!</v>
      </c>
      <c r="F54" s="254" t="e">
        <f>-'CE Min'!#REF!+'CE Min'!#REF!+'CE Min'!#REF!+'CE Min'!#REF!</f>
        <v>#REF!</v>
      </c>
      <c r="G54" s="254" t="e">
        <f>-'CE Min'!#REF!+'CE Min'!#REF!+'CE Min'!#REF!+'CE Min'!#REF!</f>
        <v>#REF!</v>
      </c>
      <c r="H54" s="254" t="e">
        <f>-'CE Min'!#REF!+'CE Min'!#REF!+'CE Min'!#REF!+'CE Min'!#REF!</f>
        <v>#REF!</v>
      </c>
      <c r="I54" s="254" t="e">
        <f>-'CE Min'!#REF!+'CE Min'!#REF!+'CE Min'!#REF!+'CE Min'!#REF!</f>
        <v>#REF!</v>
      </c>
      <c r="J54" s="254" t="e">
        <f>-'CE Min'!#REF!+'CE Min'!#REF!+'CE Min'!#REF!+'CE Min'!#REF!</f>
        <v>#REF!</v>
      </c>
      <c r="K54" s="254" t="e">
        <f>-'CE Min'!#REF!+'CE Min'!#REF!+'CE Min'!#REF!+'CE Min'!#REF!</f>
        <v>#REF!</v>
      </c>
      <c r="L54" s="254" t="e">
        <f>-'CE Min'!#REF!+'CE Min'!#REF!+'CE Min'!#REF!+'CE Min'!#REF!</f>
        <v>#REF!</v>
      </c>
    </row>
    <row r="55" spans="1:12" ht="66.599999999999994" customHeight="1">
      <c r="A55" s="244" t="s">
        <v>1930</v>
      </c>
      <c r="B55" s="279">
        <v>29</v>
      </c>
      <c r="C55" s="264" t="s">
        <v>1931</v>
      </c>
      <c r="D55" s="254" t="e">
        <f>-'CE Min'!#REF!-'CE Min'!#REF!-'CE Min'!#REF!-'CE Min'!#REF!-'CE Min'!#REF!+'CE Min'!#REF!+'CE Min'!#REF!+'CE Min'!#REF!+'CE Min'!#REF!+'CE Min'!#REF!</f>
        <v>#REF!</v>
      </c>
      <c r="E55" s="254" t="e">
        <f>-'CE Min'!#REF!-'CE Min'!#REF!-'CE Min'!#REF!-'CE Min'!#REF!-'CE Min'!#REF!+'CE Min'!#REF!+'CE Min'!#REF!+'CE Min'!#REF!+'CE Min'!#REF!+'CE Min'!#REF!</f>
        <v>#REF!</v>
      </c>
      <c r="F55" s="254" t="e">
        <f>-'CE Min'!#REF!-'CE Min'!#REF!-'CE Min'!#REF!-'CE Min'!#REF!-'CE Min'!#REF!+'CE Min'!#REF!+'CE Min'!#REF!+'CE Min'!#REF!+'CE Min'!#REF!+'CE Min'!#REF!</f>
        <v>#REF!</v>
      </c>
      <c r="G55" s="254" t="e">
        <f>-'CE Min'!#REF!-'CE Min'!#REF!-'CE Min'!#REF!-'CE Min'!#REF!-'CE Min'!#REF!+'CE Min'!#REF!+'CE Min'!#REF!+'CE Min'!#REF!+'CE Min'!#REF!+'CE Min'!#REF!</f>
        <v>#REF!</v>
      </c>
      <c r="H55" s="254" t="e">
        <f>-'CE Min'!#REF!-'CE Min'!#REF!-'CE Min'!#REF!-'CE Min'!#REF!-'CE Min'!#REF!+'CE Min'!#REF!+'CE Min'!#REF!+'CE Min'!#REF!+'CE Min'!#REF!+'CE Min'!#REF!</f>
        <v>#REF!</v>
      </c>
      <c r="I55" s="254" t="e">
        <f>-'CE Min'!#REF!-'CE Min'!#REF!-'CE Min'!#REF!-'CE Min'!#REF!-'CE Min'!#REF!+'CE Min'!#REF!+'CE Min'!#REF!+'CE Min'!#REF!+'CE Min'!#REF!+'CE Min'!#REF!</f>
        <v>#REF!</v>
      </c>
      <c r="J55" s="254" t="e">
        <f>-'CE Min'!#REF!-'CE Min'!#REF!-'CE Min'!#REF!-'CE Min'!#REF!-'CE Min'!#REF!+'CE Min'!#REF!+'CE Min'!#REF!+'CE Min'!#REF!+'CE Min'!#REF!+'CE Min'!#REF!</f>
        <v>#REF!</v>
      </c>
      <c r="K55" s="254" t="e">
        <f>-'CE Min'!#REF!-'CE Min'!#REF!-'CE Min'!#REF!-'CE Min'!#REF!-'CE Min'!#REF!+'CE Min'!#REF!+'CE Min'!#REF!+'CE Min'!#REF!+'CE Min'!#REF!+'CE Min'!#REF!</f>
        <v>#REF!</v>
      </c>
      <c r="L55" s="254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45" t="s">
        <v>1932</v>
      </c>
      <c r="B56" s="280" t="s">
        <v>1933</v>
      </c>
      <c r="C56" s="265"/>
      <c r="D56" s="265" t="e">
        <f>+D25+D31+D32+D35+D38+D46+D47+D48+D49+D50+D51+D52+D53+D54+D55</f>
        <v>#REF!</v>
      </c>
      <c r="E56" s="265" t="e">
        <f t="shared" ref="E56:L56" si="6">+E25+E31+E32+E35+E38+E46+E47+E48+E49+E50+E51+E52+E53+E54+E55</f>
        <v>#REF!</v>
      </c>
      <c r="F56" s="265" t="e">
        <f t="shared" si="6"/>
        <v>#REF!</v>
      </c>
      <c r="G56" s="265" t="e">
        <f t="shared" si="6"/>
        <v>#REF!</v>
      </c>
      <c r="H56" s="265" t="e">
        <f t="shared" si="6"/>
        <v>#REF!</v>
      </c>
      <c r="I56" s="265" t="e">
        <f t="shared" si="6"/>
        <v>#REF!</v>
      </c>
      <c r="J56" s="265" t="e">
        <f t="shared" si="6"/>
        <v>#REF!</v>
      </c>
      <c r="K56" s="265" t="e">
        <f t="shared" si="6"/>
        <v>#REF!</v>
      </c>
      <c r="L56" s="265" t="e">
        <f t="shared" si="6"/>
        <v>#REF!</v>
      </c>
    </row>
    <row r="57" spans="1:12" ht="14.25" thickTop="1" thickBot="1">
      <c r="A57" s="218"/>
      <c r="B57" s="281"/>
      <c r="C57" s="218"/>
    </row>
    <row r="58" spans="1:12" ht="19.5" thickTop="1" thickBot="1">
      <c r="A58" s="246" t="s">
        <v>1815</v>
      </c>
      <c r="B58" s="282" t="s">
        <v>1934</v>
      </c>
      <c r="C58" s="247"/>
      <c r="D58" s="247" t="e">
        <f>+D19-D56</f>
        <v>#REF!</v>
      </c>
      <c r="E58" s="247" t="e">
        <f t="shared" ref="E58:L58" si="7">+E19-E56</f>
        <v>#REF!</v>
      </c>
      <c r="F58" s="247" t="e">
        <f t="shared" si="7"/>
        <v>#REF!</v>
      </c>
      <c r="G58" s="247" t="e">
        <f t="shared" si="7"/>
        <v>#REF!</v>
      </c>
      <c r="H58" s="247" t="e">
        <f t="shared" si="7"/>
        <v>#REF!</v>
      </c>
      <c r="I58" s="247" t="e">
        <f t="shared" si="7"/>
        <v>#REF!</v>
      </c>
      <c r="J58" s="247" t="e">
        <f t="shared" si="7"/>
        <v>#REF!</v>
      </c>
      <c r="K58" s="247" t="e">
        <f t="shared" si="7"/>
        <v>#REF!</v>
      </c>
      <c r="L58" s="247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Schema CE</vt:lpstr>
      <vt:lpstr>CE Min</vt:lpstr>
      <vt:lpstr>Alim CE Costi</vt:lpstr>
      <vt:lpstr>Alim CE Ricavi</vt:lpstr>
      <vt:lpstr>Schema SP</vt:lpstr>
      <vt:lpstr>SP Min</vt:lpstr>
      <vt:lpstr>SP Att Alim</vt:lpstr>
      <vt:lpstr>SP Pas Alim</vt:lpstr>
      <vt:lpstr>Rend Fin</vt:lpstr>
      <vt:lpstr>ce art. 44</vt:lpstr>
      <vt:lpstr>'ce art. 44'!Area_stampa</vt:lpstr>
      <vt:lpstr>'CE Min'!Area_stampa</vt:lpstr>
      <vt:lpstr>'SP Att Alim'!Area_stampa</vt:lpstr>
      <vt:lpstr>'Alim CE Costi'!Titoli_stampa</vt:lpstr>
      <vt:lpstr>'Alim CE Ricavi'!Titoli_stampa</vt:lpstr>
      <vt:lpstr>'CE Min'!Titoli_stampa</vt:lpstr>
      <vt:lpstr>'Schema CE'!Titoli_stampa</vt:lpstr>
      <vt:lpstr>'SP Att Alim'!Titoli_stampa</vt:lpstr>
      <vt:lpstr>'SP Min'!Titoli_stampa</vt:lpstr>
      <vt:lpstr>'SP Pas Alim'!Titoli_stampa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Bettina Marangoni</cp:lastModifiedBy>
  <cp:lastPrinted>2025-04-25T07:44:59Z</cp:lastPrinted>
  <dcterms:created xsi:type="dcterms:W3CDTF">2019-07-05T08:06:15Z</dcterms:created>
  <dcterms:modified xsi:type="dcterms:W3CDTF">2025-07-03T06:37:57Z</dcterms:modified>
</cp:coreProperties>
</file>